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iar.Michaels\Desktop\"/>
    </mc:Choice>
  </mc:AlternateContent>
  <bookViews>
    <workbookView xWindow="0" yWindow="0" windowWidth="19200" windowHeight="1149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expenses'!$A$1:$E$39</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Travel!$A$1:$E$121</definedName>
  </definedNames>
  <calcPr calcId="162913"/>
</workbook>
</file>

<file path=xl/calcChain.xml><?xml version="1.0" encoding="utf-8"?>
<calcChain xmlns="http://schemas.openxmlformats.org/spreadsheetml/2006/main">
  <c r="B29" i="3" l="1"/>
  <c r="B28" i="3"/>
  <c r="B27" i="3"/>
  <c r="B26" i="3"/>
  <c r="B25" i="3"/>
  <c r="B24" i="3"/>
  <c r="B23" i="3"/>
  <c r="B22" i="3"/>
  <c r="B21" i="3"/>
  <c r="B20" i="3"/>
  <c r="B17" i="3"/>
  <c r="B15" i="3"/>
  <c r="B14" i="3"/>
  <c r="B52" i="1" l="1"/>
  <c r="B93" i="1"/>
  <c r="D25" i="4" l="1"/>
  <c r="C33" i="3"/>
  <c r="C25" i="2"/>
  <c r="C100" i="1"/>
  <c r="C110" i="1"/>
  <c r="C38"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33" i="3" s="1"/>
  <c r="F56" i="13"/>
  <c r="D110" i="1" s="1"/>
  <c r="F55" i="13"/>
  <c r="D100" i="1" s="1"/>
  <c r="F54" i="13"/>
  <c r="D38" i="1" s="1"/>
  <c r="C13" i="13"/>
  <c r="C12" i="13"/>
  <c r="C11" i="13"/>
  <c r="C16" i="13" l="1"/>
  <c r="C17" i="13"/>
  <c r="B5" i="4" l="1"/>
  <c r="B4" i="4"/>
  <c r="B5" i="3"/>
  <c r="B4" i="3"/>
  <c r="B5" i="2"/>
  <c r="B4" i="2"/>
  <c r="B5" i="1"/>
  <c r="B4" i="1"/>
  <c r="C15" i="13" l="1"/>
  <c r="F12" i="13" l="1"/>
  <c r="C25" i="4"/>
  <c r="F11" i="13" s="1"/>
  <c r="F13" i="13" l="1"/>
  <c r="B110" i="1"/>
  <c r="B17" i="13" s="1"/>
  <c r="B100" i="1"/>
  <c r="B16" i="13" s="1"/>
  <c r="B38" i="1"/>
  <c r="B15" i="13" s="1"/>
  <c r="B33" i="3" l="1"/>
  <c r="B13" i="13" s="1"/>
  <c r="B25" i="2"/>
  <c r="B12" i="13" s="1"/>
  <c r="B11" i="13" l="1"/>
  <c r="B11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1" authorId="0" shapeId="0">
      <text>
        <r>
          <rPr>
            <sz val="9"/>
            <color indexed="81"/>
            <rFont val="Tahoma"/>
            <family val="2"/>
          </rPr>
          <t xml:space="preserve">
Insert additional rows as needed:
- 'right click' on a row number (left of screen)
- select 'Insert' (this will insert a row above it)
</t>
        </r>
      </text>
    </comment>
    <comment ref="A10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<sst xmlns="http://schemas.openxmlformats.org/spreadsheetml/2006/main" count="577" uniqueCount="327">
  <si>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</si>
  <si>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</si>
  <si>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</si>
  <si>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</si>
  <si>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</si>
  <si>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</si>
  <si>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</si>
  <si>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</si>
  <si>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</si>
  <si>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</si>
  <si>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</si>
  <si>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</si>
  <si>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</si>
  <si>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</si>
  <si>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</si>
  <si>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</si>
  <si>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</si>
  <si>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</si>
  <si>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</si>
  <si>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</si>
  <si>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</si>
  <si>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</si>
  <si>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</si>
  <si>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</si>
  <si>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</si>
  <si>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</si>
  <si>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</si>
  <si>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</si>
  <si>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</si>
  <si>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</si>
  <si>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</si>
  <si>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</si>
  <si>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</si>
  <si>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</si>
  <si>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</si>
  <si>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</si>
  <si>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</si>
  <si>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</si>
  <si>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</si>
  <si>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</si>
  <si>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</si>
  <si>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</si>
  <si>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</si>
  <si>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</si>
  <si>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</si>
  <si>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</si>
  <si>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</si>
  <si>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</si>
  <si>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</si>
  <si>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</si>
  <si>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</si>
  <si>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</si>
  <si>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</si>
  <si>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</si>
  <si>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</si>
  <si>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</si>
  <si>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</si>
  <si>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</si>
  <si>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</si>
  <si>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</si>
  <si>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</si>
  <si>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</si>
  <si>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</si>
  <si>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</si>
  <si>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</si>
  <si>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</si>
  <si>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</si>
  <si>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</si>
  <si>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</si>
  <si>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</si>
  <si>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</si>
  <si>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</si>
  <si>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</si>
  <si>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</si>
  <si>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</si>
  <si>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</si>
  <si>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</si>
  <si>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</si>
  <si>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</si>
  <si>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</si>
  <si>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</si>
  <si>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</si>
  <si>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</si>
  <si>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</si>
  <si>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</si>
  <si>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</si>
  <si>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</si>
  <si>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</si>
  <si>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</si>
  <si>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</si>
  <si>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</si>
  <si>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</si>
  <si>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</si>
  <si>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</si>
  <si>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</si>
  <si>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</si>
  <si>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</si>
  <si>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</si>
  <si>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</si>
  <si>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</si>
  <si>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</si>
  <si>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</si>
  <si>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</si>
  <si>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</si>
  <si>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</si>
  <si>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</si>
  <si>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</si>
  <si>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</si>
  <si>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</si>
  <si>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</si>
  <si>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</si>
  <si>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</si>
  <si>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</si>
  <si>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</si>
  <si>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</si>
  <si>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</si>
  <si>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</si>
  <si>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</si>
  <si>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</si>
  <si>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</si>
  <si>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</si>
  <si>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</si>
  <si>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</si>
  <si>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</si>
  <si>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</si>
  <si>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</si>
  <si>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</si>
  <si>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</si>
  <si>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</si>
  <si>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</si>
  <si>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</si>
  <si>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</si>
  <si>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</si>
  <si>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</si>
  <si>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</si>
  <si>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</si>
  <si>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</si>
  <si>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</si>
  <si>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</si>
  <si>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</si>
  <si>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</si>
  <si>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</si>
  <si>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</si>
  <si>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</si>
  <si>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</si>
  <si>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</si>
  <si>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</si>
  <si>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</si>
  <si>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</si>
  <si>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</si>
  <si>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</si>
  <si>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</si>
  <si>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</si>
  <si>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</si>
  <si>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</si>
  <si>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</si>
  <si>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</si>
  <si>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</si>
  <si>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</si>
  <si>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</si>
  <si>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</si>
  <si>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</si>
  <si>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</si>
  <si>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</si>
  <si>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</si>
  <si>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</si>
  <si>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</si>
  <si>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</si>
  <si>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ODESC meeting - taxi</t>
  </si>
  <si>
    <t>Taxi</t>
  </si>
  <si>
    <t>Wellington</t>
  </si>
  <si>
    <t>National Security Sector Senior Officials meeting - speaker at the meeting - taxi to event</t>
  </si>
  <si>
    <t>Flight</t>
  </si>
  <si>
    <t>Auckland</t>
  </si>
  <si>
    <t>MNZ Authority meeting - flights</t>
  </si>
  <si>
    <t>Nelson</t>
  </si>
  <si>
    <t>Flights</t>
  </si>
  <si>
    <t>MNZ regional office visit to Tauranga - Airport parking</t>
  </si>
  <si>
    <t>Parking</t>
  </si>
  <si>
    <t>Tauranga</t>
  </si>
  <si>
    <t>MNZ regional office visit to Tauranga - flight</t>
  </si>
  <si>
    <t>Unmanned Survey Vessel demostration - flight</t>
  </si>
  <si>
    <t>Unmanned Survey Vessel demostration - accommodation</t>
  </si>
  <si>
    <t>Accommodation</t>
  </si>
  <si>
    <t>Unmanned Survey Vessel demostration - rental car including fuel consumption</t>
  </si>
  <si>
    <t>Rental car</t>
  </si>
  <si>
    <t>Unmanned Survey Vessel demostration - staff meal with Deputy Director MSA and Senior Operations Policy Adviser</t>
  </si>
  <si>
    <t>Incidentals</t>
  </si>
  <si>
    <t>Unmanned Survey Vessel demostration - meeting with AMSA (3 pax), Deputy Director MSA &amp; Senior Operations Policy Adviser</t>
  </si>
  <si>
    <t>NZ Workplace H&amp;S Awards - invited by WorkSafe CEO - flights</t>
  </si>
  <si>
    <t>NZ Workplace H&amp;S Awards - invited by WorkSafe CEO - accommodation</t>
  </si>
  <si>
    <t>NZ Workplace H&amp;S Awards - invited by WorkSafe CEO - taxi from airport to hotel</t>
  </si>
  <si>
    <t>NZ Workplace H&amp;S Awards - invited by WorkSafe CEO - taxi from hotel to airport</t>
  </si>
  <si>
    <t>NZ Workplace H&amp;S Awards - invited by WorkSafe CEO - parking at Wellington airport</t>
  </si>
  <si>
    <t xml:space="preserve">Wellington </t>
  </si>
  <si>
    <t>MNZ Authority meeting in Auckland - flights</t>
  </si>
  <si>
    <t>MNZ Authority meeting in Auckland - accommodation</t>
  </si>
  <si>
    <t>MNZ Authority meeting in Auckland - staff meal for 7 members of Executive Team/Board members (Roy/Denis/Andrew S/Nigel/Pelin/Keith/Rob W)</t>
  </si>
  <si>
    <t>Incidental</t>
  </si>
  <si>
    <t>MNZ Authority meeting in Auckland - parking at Wellington Airport</t>
  </si>
  <si>
    <t>Staff farewell for Colin Perkins - after 25 years service - parking at Wellington airport</t>
  </si>
  <si>
    <t>Staff farewell for Colin Perkins - after 25 years service - flight</t>
  </si>
  <si>
    <t>Yacht Inspectors Conference - attending and speaking - taxi to airport</t>
  </si>
  <si>
    <t>Yacht Inspectors Conference - attending and speaking - Taxi from airport to Auckland venue</t>
  </si>
  <si>
    <t>Cruise NZ/ISS McKay meetings with industry - flight</t>
  </si>
  <si>
    <t>Cruise NZ/ISS McKay meetings with industry - parking at Wellington airport</t>
  </si>
  <si>
    <t>Cruise NZ/ISS McKay meetings with industry - taxi in Auckland</t>
  </si>
  <si>
    <t xml:space="preserve">Taxi </t>
  </si>
  <si>
    <t>World Maritime Day - attending and speaking - flight</t>
  </si>
  <si>
    <t>World Maritime Day - attending and speaking - taxi shuttle from Auckland airport to hotel</t>
  </si>
  <si>
    <t>World Maritime Day - attending and speaking - staff meals (1xbreakfast, 1xdinner)</t>
  </si>
  <si>
    <t>World Maritime Day - attending and speaking - hotel accommodatin</t>
  </si>
  <si>
    <t>World Maritime Day - attending and speaking - taxi from Wellington airport to home</t>
  </si>
  <si>
    <t>MNZ regional office visit - staff engagement survey meeting in Napier - staff meal for Keith &amp; 2 staff</t>
  </si>
  <si>
    <t>Napier</t>
  </si>
  <si>
    <t>MNZ regional office visit - staff engagement survey meeting in Napier - taxi from Napier office to airport</t>
  </si>
  <si>
    <t>MNZ regional office visit - staff engagement survey meeting in Napier - taxi from Wellington airport to home</t>
  </si>
  <si>
    <t>MNZ regional office visit - staff engagement survey meeting in Napier - flight to Napier</t>
  </si>
  <si>
    <t xml:space="preserve">MNZ regional office visit - staff engagement survey meeting in Tauranga - flight </t>
  </si>
  <si>
    <t>MNZ regional office visit - staff engagement survey meeting in Tauranga - taxi from office to airport</t>
  </si>
  <si>
    <t xml:space="preserve">MNZ regional office visit - staff engagement survey meeting in Auckland - flight </t>
  </si>
  <si>
    <t>MNZ regional office visit - staff engagement survey meeting in Auckland - parking at the airport</t>
  </si>
  <si>
    <t>MNZ regional office visit - staff engagement survey meeting in Auckland - rental car hire including fuel consumption</t>
  </si>
  <si>
    <t xml:space="preserve">MNZ regional office visit - staff engagement survey meeting in Invercargill - flight </t>
  </si>
  <si>
    <t>Invercargill</t>
  </si>
  <si>
    <t>MNZ regional office visit - staff engagement survey meeting in Invercargill and Dunedin offices - parking at the airport</t>
  </si>
  <si>
    <t>Catering</t>
  </si>
  <si>
    <t xml:space="preserve">MNZ regional office visit - staff engagement survey meeting in Nelson - flight </t>
  </si>
  <si>
    <t>MNZ regional office visit - staff engagement survey meeting in Nelson - parking at the airport</t>
  </si>
  <si>
    <t>MNZ regional office visit - staff engagement survey meeting in Christchurch - parking at the airport</t>
  </si>
  <si>
    <t xml:space="preserve">MNZ regional office visit - staff engagement survey meeting in Christchurch - flight </t>
  </si>
  <si>
    <t>Christchurch</t>
  </si>
  <si>
    <t>Oil Spill Workshop - airport parking</t>
  </si>
  <si>
    <t>Oil Spill Workshop - flight</t>
  </si>
  <si>
    <t>Taxi/Car</t>
  </si>
  <si>
    <t>MNZ regional office visit in Nelson - airport parking</t>
  </si>
  <si>
    <t>MNZ regional office visit in Nelson - flight</t>
  </si>
  <si>
    <t>Professional Development - Brain based coaching course in Sydney - flight to Sydney</t>
  </si>
  <si>
    <t>Sydney</t>
  </si>
  <si>
    <t>Professional Development - Brain based coaching course in Sydney - staff meal breakfast</t>
  </si>
  <si>
    <t>Professional Development - Brain based coaching course in Sydney - staff meal for 4 MNZ staff</t>
  </si>
  <si>
    <t>Professional Development - Brain based coaching course in Sydney - taxi from Sydney airport to hotel</t>
  </si>
  <si>
    <t>Professional Development - Brain based coaching course in Sydney - taxi airport to home</t>
  </si>
  <si>
    <t>Flights to Singapore (AMCF) and Korea (APHOMSA)</t>
  </si>
  <si>
    <t xml:space="preserve">Flights </t>
  </si>
  <si>
    <t>Singapore</t>
  </si>
  <si>
    <t>Asian Marine Casualty Conference (AMCF) in Singapore - taxi from home to Wellington airport</t>
  </si>
  <si>
    <t>Asian Marine Casualty Conference (AMCF) in Singapore - taxi from Singapore airport to hotel</t>
  </si>
  <si>
    <t>Asian Marine Casualty Conference (AMCF) in Singapore - staff meal with Deputy Director Safety &amp; Response Systems</t>
  </si>
  <si>
    <t>Asian Marine Casualty Conference (AMCF) in Singapore - taxi from venue to hotel</t>
  </si>
  <si>
    <t>Korea</t>
  </si>
  <si>
    <t>Asia Pacific Heads of Maritime Safety Agencies Forum (APHOMSA) - breakfasts for four days</t>
  </si>
  <si>
    <t>Asia Pacific Heads of Maritime Safety Agencies Forum (APHOMSA) - taxi from Wellington Airport to home</t>
  </si>
  <si>
    <t>Registration</t>
  </si>
  <si>
    <t>Perth</t>
  </si>
  <si>
    <t>Professional Development - Brain Based Coaching course in Sydney - registration</t>
  </si>
  <si>
    <t>Professional Development</t>
  </si>
  <si>
    <t>Meeting catering</t>
  </si>
  <si>
    <t>Industry Liaison meeting with Tourism Industry Aoteroa</t>
  </si>
  <si>
    <t>CEO declined</t>
  </si>
  <si>
    <t>PEPANZ CEO, Cameron Madgwick</t>
  </si>
  <si>
    <t>Directorate General of the Maritime Territory and Merchant Marine of Chile</t>
  </si>
  <si>
    <t>Royal NZ Navy</t>
  </si>
  <si>
    <t>Cake</t>
  </si>
  <si>
    <t>Meredith Connell</t>
  </si>
  <si>
    <t>Spirit of Adventure Trust</t>
  </si>
  <si>
    <t>NZIER</t>
  </si>
  <si>
    <t>McMullen &amp; Wing</t>
  </si>
  <si>
    <t>Maritime New Zealand</t>
  </si>
  <si>
    <t>Keith Manch</t>
  </si>
  <si>
    <t>Conference Registration</t>
  </si>
  <si>
    <t>Telephone charges</t>
  </si>
  <si>
    <t>n/a</t>
  </si>
  <si>
    <t>August 2018 Spark Charges</t>
  </si>
  <si>
    <t>July 2018 Spark Charges</t>
  </si>
  <si>
    <t>October 2018 Spark Charges</t>
  </si>
  <si>
    <t>September 2018 Spark Charges</t>
  </si>
  <si>
    <t>na/</t>
  </si>
  <si>
    <t>November 2018 Spark Charges</t>
  </si>
  <si>
    <t>December 2018 Spark Charges</t>
  </si>
  <si>
    <t>January 2019 Spark Charges</t>
  </si>
  <si>
    <t>February 2019 Spark Charges</t>
  </si>
  <si>
    <t>March 2019 Spark Charges</t>
  </si>
  <si>
    <t>April 2019 Spark Charges</t>
  </si>
  <si>
    <t>May 2019 Spark Charges</t>
  </si>
  <si>
    <t>June 2019 Spark Charges</t>
  </si>
  <si>
    <t xml:space="preserve">Invite to annual senate SHJ Party </t>
  </si>
  <si>
    <t>Senate SHJ</t>
  </si>
  <si>
    <t>Invite to attend NZ Security Sector Professional Development dinner as speaker at the event</t>
  </si>
  <si>
    <t>Victoria University of Wellington</t>
  </si>
  <si>
    <t>CEO declined due to no MNZ delegates attending</t>
  </si>
  <si>
    <t>Invite to attend 2019 Deloitte Energy Excellence awards</t>
  </si>
  <si>
    <t>Invite to 171st anniverary of Directemar in Chile</t>
  </si>
  <si>
    <t>Reception onboard HMNZS Wellington berthed at Queens Wharf</t>
  </si>
  <si>
    <t>Invite to attend the SafeGuard H&amp;S awards</t>
  </si>
  <si>
    <t>WorkSafe CEO</t>
  </si>
  <si>
    <t xml:space="preserve">CEO accepted   </t>
  </si>
  <si>
    <t>Shared amongst staff at the Wellington office</t>
  </si>
  <si>
    <t>Spirit of Adventure Trust invite to Half Day Sail</t>
  </si>
  <si>
    <t>CEO attended</t>
  </si>
  <si>
    <t>Invite to NZIER's 60th birthday celebration</t>
  </si>
  <si>
    <t>Launch event for the Kukutai including lunch at the shipyard</t>
  </si>
  <si>
    <t xml:space="preserve">Professional Development - Brain based coaching course in Sydney - staff meal breakfast </t>
  </si>
  <si>
    <t>Singapore/Korea</t>
  </si>
  <si>
    <t>Professional Development - Brain based coaching course in Sydney - accommodation 3 nights</t>
  </si>
  <si>
    <t>Asian Marine Casualty Forum (AMCF) in Singapore - hotel 2 nights</t>
  </si>
  <si>
    <t xml:space="preserve">Asia Pacific Heads of Maritime Safety Agencies Forum (APHOMSA) - Hotel 4 nights </t>
  </si>
  <si>
    <t>n/a didn't attend due to a clash with professional development</t>
  </si>
  <si>
    <t xml:space="preserve">CEOs of WorkSafe, EPA and MNZ meeting </t>
  </si>
  <si>
    <t>Hospitality - lunch for 2 delegates and 6 MNZ staff</t>
  </si>
  <si>
    <t xml:space="preserve">Marshall Island delegates visit to NZ </t>
  </si>
  <si>
    <t>Meeting catering - 2 person coffee meeting</t>
  </si>
  <si>
    <t>SPILLCON attending and chairing - International Oil Spill Conference for Asia-Pacific region - conference registration</t>
  </si>
  <si>
    <t>SPILLCON attending and chairing - International Oil Spill Conference for Asia-Pacific region - flight</t>
  </si>
  <si>
    <t>SPILLCON attending and chairing - International Oil Spill Conference for Asia-Pacific region - taxi from airport to hotel</t>
  </si>
  <si>
    <t>SPILLCON attending and chairing - International Oil Spill Conference for Asia-Pacific region - taxi from airport to home</t>
  </si>
  <si>
    <t>SPILLCON attending and chairing - International Oil Spill Conference for Asia-Pacific region - accommodation 4 nights &amp; two staff meals</t>
  </si>
  <si>
    <t>Yacht Inspectors Conference - attending and speaking - flight  - airpoints dollars utilised</t>
  </si>
  <si>
    <t>Tokelau Search and Rescue Vessel launch - airport parking</t>
  </si>
  <si>
    <t>Tokelau Search and Rescue Vessel launch - flight</t>
  </si>
  <si>
    <t xml:space="preserve">Tokelau Search and Rescue Vessel launch - car hire </t>
  </si>
  <si>
    <t>CEO accepted but event was cancelled</t>
  </si>
  <si>
    <t>Maritime NZ Chief Financial Officer</t>
  </si>
  <si>
    <t xml:space="preserve">Executive Team breakfast meeting </t>
  </si>
  <si>
    <t>Executive Team breakfast meeting</t>
  </si>
  <si>
    <t>Cruise NZ conference 2019</t>
  </si>
  <si>
    <t>Royal NZ Coastguard Conference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</si>
</sst>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0"/>
      <name val="Arial"/>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5" fontId="15" fillId="0" borderId="7" xfId="0" applyNumberFormat="1" applyFont="1" applyBorder="1" applyAlignment="1" applyProtection="1">
      <alignment horizontal="left"/>
      <protection locked="0"/>
    </xf>
    <xf numFmtId="165" fontId="15" fillId="0" borderId="7" xfId="2" applyFont="1" applyBorder="1" applyProtection="1">
      <protection locked="0"/>
    </xf>
    <xf numFmtId="0" fontId="15" fillId="0" borderId="7" xfId="0" applyFont="1" applyBorder="1" applyProtection="1">
      <protection locked="0"/>
    </xf>
    <xf numFmtId="15" fontId="0" fillId="0" borderId="7" xfId="0" applyNumberFormat="1" applyFill="1" applyBorder="1" applyAlignment="1" applyProtection="1">
      <alignment horizontal="left"/>
      <protection locked="0"/>
    </xf>
    <xf numFmtId="165" fontId="36" fillId="0" borderId="7" xfId="2" applyFont="1" applyFill="1" applyBorder="1" applyProtection="1">
      <protection locked="0"/>
    </xf>
    <xf numFmtId="0" fontId="15" fillId="0" borderId="7" xfId="0" applyFont="1" applyFill="1" applyBorder="1" applyProtection="1">
      <protection locked="0"/>
    </xf>
    <xf numFmtId="0" fontId="0" fillId="0" borderId="7" xfId="0" applyFill="1" applyBorder="1" applyProtection="1">
      <protection locked="0"/>
    </xf>
    <xf numFmtId="165" fontId="15" fillId="0" borderId="7" xfId="2" applyFont="1" applyFill="1" applyBorder="1" applyProtection="1">
      <protection locked="0"/>
    </xf>
    <xf numFmtId="165" fontId="0" fillId="0" borderId="7" xfId="2" applyFont="1" applyFill="1" applyBorder="1" applyProtection="1">
      <protection locked="0"/>
    </xf>
    <xf numFmtId="0" fontId="15" fillId="0" borderId="7" xfId="0" applyFont="1" applyFill="1" applyBorder="1" applyAlignment="1" applyProtection="1">
      <alignment horizontal="left"/>
      <protection locked="0"/>
    </xf>
    <xf numFmtId="15" fontId="15" fillId="0" borderId="7" xfId="0" applyNumberFormat="1" applyFont="1" applyFill="1" applyBorder="1" applyAlignment="1" applyProtection="1">
      <alignment horizontal="left"/>
      <protection locked="0"/>
    </xf>
    <xf numFmtId="0" fontId="0" fillId="0" borderId="7" xfId="0" applyBorder="1" applyProtection="1">
      <protection locked="0"/>
    </xf>
    <xf numFmtId="15" fontId="0" fillId="0" borderId="7" xfId="0" applyNumberFormat="1" applyBorder="1" applyAlignment="1" applyProtection="1">
      <alignment horizontal="left"/>
      <protection locked="0"/>
    </xf>
    <xf numFmtId="165" fontId="0" fillId="0" borderId="7" xfId="2" applyFont="1" applyBorder="1" applyProtection="1">
      <protection locked="0"/>
    </xf>
    <xf numFmtId="15" fontId="0" fillId="11" borderId="7" xfId="0" applyNumberFormat="1" applyFill="1" applyBorder="1" applyAlignment="1" applyProtection="1">
      <alignment horizontal="left"/>
      <protection locked="0"/>
    </xf>
    <xf numFmtId="165" fontId="36" fillId="11" borderId="7" xfId="2" applyFont="1" applyFill="1" applyBorder="1" applyProtection="1">
      <protection locked="0"/>
    </xf>
    <xf numFmtId="0" fontId="0" fillId="11" borderId="7" xfId="0" applyFill="1" applyBorder="1" applyProtection="1">
      <protection locked="0"/>
    </xf>
    <xf numFmtId="15" fontId="0" fillId="0" borderId="0" xfId="0" applyNumberFormat="1" applyBorder="1" applyAlignment="1" applyProtection="1">
      <alignment horizontal="left"/>
      <protection locked="0"/>
    </xf>
    <xf numFmtId="165" fontId="36" fillId="11" borderId="11" xfId="2" applyFont="1" applyFill="1" applyBorder="1" applyProtection="1">
      <protection locked="0"/>
    </xf>
    <xf numFmtId="0" fontId="0" fillId="11" borderId="11" xfId="0" applyFill="1" applyBorder="1" applyProtection="1">
      <protection locked="0"/>
    </xf>
    <xf numFmtId="0" fontId="0" fillId="0" borderId="11" xfId="0" applyFill="1" applyBorder="1" applyProtection="1">
      <protection locked="0"/>
    </xf>
    <xf numFmtId="0" fontId="15" fillId="11" borderId="7" xfId="0" applyFont="1" applyFill="1" applyBorder="1" applyProtection="1">
      <protection locked="0"/>
    </xf>
    <xf numFmtId="15" fontId="15" fillId="11" borderId="7" xfId="0" applyNumberFormat="1" applyFont="1" applyFill="1" applyBorder="1" applyAlignment="1" applyProtection="1">
      <alignment horizontal="left"/>
      <protection locked="0"/>
    </xf>
    <xf numFmtId="165" fontId="15" fillId="11" borderId="7" xfId="2" applyFont="1" applyFill="1" applyBorder="1" applyProtection="1">
      <protection locked="0"/>
    </xf>
    <xf numFmtId="0" fontId="15" fillId="0" borderId="12" xfId="0" applyFont="1" applyFill="1" applyBorder="1" applyAlignment="1" applyProtection="1">
      <alignment horizontal="left"/>
      <protection locked="0"/>
    </xf>
    <xf numFmtId="165" fontId="15" fillId="10" borderId="4" xfId="2" applyFont="1" applyFill="1" applyBorder="1" applyAlignment="1" applyProtection="1">
      <alignment vertical="center" wrapText="1"/>
      <protection locked="0"/>
    </xf>
    <xf numFmtId="165" fontId="0" fillId="0" borderId="0" xfId="2" applyFont="1" applyFill="1" applyProtection="1">
      <protection locked="0"/>
    </xf>
    <xf numFmtId="0" fontId="0" fillId="0" borderId="4" xfId="0" applyFont="1" applyFill="1" applyBorder="1" applyAlignment="1" applyProtection="1">
      <alignment vertical="center" wrapText="1"/>
      <protection locked="0"/>
    </xf>
    <xf numFmtId="0" fontId="15" fillId="11" borderId="7" xfId="0" applyFont="1" applyFill="1" applyBorder="1" applyAlignment="1" applyProtection="1">
      <alignment wrapText="1"/>
      <protection locked="0"/>
    </xf>
    <xf numFmtId="0" fontId="15" fillId="0" borderId="7" xfId="0" applyFont="1" applyFill="1" applyBorder="1" applyAlignment="1" applyProtection="1">
      <alignment wrapText="1"/>
      <protection locked="0"/>
    </xf>
    <xf numFmtId="0" fontId="15" fillId="0" borderId="12" xfId="0" applyFont="1" applyFill="1" applyBorder="1" applyAlignment="1" applyProtection="1">
      <alignment wrapText="1"/>
      <protection locked="0"/>
    </xf>
    <xf numFmtId="0" fontId="15" fillId="0" borderId="12" xfId="0" applyFont="1" applyBorder="1" applyAlignment="1" applyProtection="1">
      <alignment wrapText="1"/>
      <protection locked="0"/>
    </xf>
    <xf numFmtId="0" fontId="15" fillId="0" borderId="7" xfId="0" applyFont="1" applyBorder="1" applyAlignment="1" applyProtection="1">
      <alignment wrapText="1"/>
      <protection locked="0"/>
    </xf>
    <xf numFmtId="0" fontId="0" fillId="0" borderId="7" xfId="0" applyFill="1" applyBorder="1" applyAlignment="1" applyProtection="1">
      <alignment wrapText="1"/>
      <protection locked="0"/>
    </xf>
    <xf numFmtId="0" fontId="0" fillId="11" borderId="7" xfId="0" applyFill="1" applyBorder="1" applyAlignment="1" applyProtection="1">
      <alignment wrapText="1"/>
      <protection locked="0"/>
    </xf>
    <xf numFmtId="0" fontId="0" fillId="0" borderId="7" xfId="0" applyBorder="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election activeCell="A8" sqref="A8"/>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17" sqref="A17"/>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95" t="s">
        <v>98</v>
      </c>
      <c r="B1" s="195"/>
      <c r="C1" s="195"/>
      <c r="D1" s="195"/>
      <c r="E1" s="195"/>
      <c r="F1" s="195"/>
      <c r="G1" s="48"/>
      <c r="H1" s="48"/>
      <c r="I1" s="48"/>
      <c r="J1" s="48"/>
      <c r="K1" s="48"/>
    </row>
    <row r="2" spans="1:11" ht="21" customHeight="1" x14ac:dyDescent="0.2">
      <c r="A2" s="4" t="s">
        <v>2</v>
      </c>
      <c r="B2" s="196" t="s">
        <v>268</v>
      </c>
      <c r="C2" s="196"/>
      <c r="D2" s="196"/>
      <c r="E2" s="196"/>
      <c r="F2" s="196"/>
      <c r="G2" s="48"/>
      <c r="H2" s="48"/>
      <c r="I2" s="48"/>
      <c r="J2" s="48"/>
      <c r="K2" s="48"/>
    </row>
    <row r="3" spans="1:11" ht="21" customHeight="1" x14ac:dyDescent="0.2">
      <c r="A3" s="4" t="s">
        <v>99</v>
      </c>
      <c r="B3" s="196" t="s">
        <v>269</v>
      </c>
      <c r="C3" s="196"/>
      <c r="D3" s="196"/>
      <c r="E3" s="196"/>
      <c r="F3" s="196"/>
      <c r="G3" s="48"/>
      <c r="H3" s="48"/>
      <c r="I3" s="48"/>
      <c r="J3" s="48"/>
      <c r="K3" s="48"/>
    </row>
    <row r="4" spans="1:11" ht="21" customHeight="1" x14ac:dyDescent="0.2">
      <c r="A4" s="4" t="s">
        <v>79</v>
      </c>
      <c r="B4" s="197">
        <v>43282</v>
      </c>
      <c r="C4" s="197"/>
      <c r="D4" s="197"/>
      <c r="E4" s="197"/>
      <c r="F4" s="197"/>
      <c r="G4" s="48"/>
      <c r="H4" s="48"/>
      <c r="I4" s="48"/>
      <c r="J4" s="48"/>
      <c r="K4" s="48"/>
    </row>
    <row r="5" spans="1:11" ht="21" customHeight="1" x14ac:dyDescent="0.2">
      <c r="A5" s="4" t="s">
        <v>80</v>
      </c>
      <c r="B5" s="197">
        <v>43646</v>
      </c>
      <c r="C5" s="197"/>
      <c r="D5" s="197"/>
      <c r="E5" s="197"/>
      <c r="F5" s="197"/>
      <c r="G5" s="48"/>
      <c r="H5" s="48"/>
      <c r="I5" s="48"/>
      <c r="J5" s="48"/>
      <c r="K5" s="48"/>
    </row>
    <row r="6" spans="1:11" ht="21" customHeight="1" x14ac:dyDescent="0.2">
      <c r="A6" s="4" t="s">
        <v>104</v>
      </c>
      <c r="B6" s="194" t="str">
        <f>IF(AND(Travel!B7&lt;&gt;A30,Hospitality!B7&lt;&gt;A30,'All other expenses'!B7&lt;&gt;A30,'Gifts and benefits'!B7&lt;&gt;A30),A31,IF(AND(Travel!B7=A30,Hospitality!B7=A30,'All other expenses'!B7=A30,'Gifts and benefits'!B7=A30),A33,A32))</f>
        <v>Data and totals checked on all sheets</v>
      </c>
      <c r="C6" s="194"/>
      <c r="D6" s="194"/>
      <c r="E6" s="194"/>
      <c r="F6" s="194"/>
      <c r="G6" s="36"/>
      <c r="H6" s="48"/>
      <c r="I6" s="48"/>
      <c r="J6" s="48"/>
      <c r="K6" s="48"/>
    </row>
    <row r="7" spans="1:11" ht="21" customHeight="1" x14ac:dyDescent="0.2">
      <c r="A7" s="4" t="s">
        <v>133</v>
      </c>
      <c r="B7" s="193" t="s">
        <v>63</v>
      </c>
      <c r="C7" s="193"/>
      <c r="D7" s="193"/>
      <c r="E7" s="193"/>
      <c r="F7" s="193"/>
      <c r="G7" s="36"/>
      <c r="H7" s="48"/>
      <c r="I7" s="48"/>
      <c r="J7" s="48"/>
      <c r="K7" s="48"/>
    </row>
    <row r="8" spans="1:11" ht="21" customHeight="1" x14ac:dyDescent="0.2">
      <c r="A8" s="4" t="s">
        <v>100</v>
      </c>
      <c r="B8" s="193" t="s">
        <v>322</v>
      </c>
      <c r="C8" s="193"/>
      <c r="D8" s="193"/>
      <c r="E8" s="193"/>
      <c r="F8" s="193"/>
      <c r="G8" s="36"/>
      <c r="H8" s="48"/>
      <c r="I8" s="48"/>
      <c r="J8" s="48"/>
      <c r="K8" s="48"/>
    </row>
    <row r="9" spans="1:11" ht="66.75" customHeight="1" x14ac:dyDescent="0.2">
      <c r="A9" s="192" t="s">
        <v>125</v>
      </c>
      <c r="B9" s="192"/>
      <c r="C9" s="192"/>
      <c r="D9" s="192"/>
      <c r="E9" s="192"/>
      <c r="F9" s="192"/>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22457.100000000002</v>
      </c>
      <c r="C11" s="107" t="str">
        <f>IF(Travel!B6="",A34,Travel!B6)</f>
        <v>Figures include GST (where applicable)</v>
      </c>
      <c r="D11" s="8"/>
      <c r="E11" s="11" t="s">
        <v>95</v>
      </c>
      <c r="F11" s="58">
        <f>'Gifts and benefits'!C25</f>
        <v>11</v>
      </c>
      <c r="G11" s="49"/>
      <c r="H11" s="49"/>
      <c r="I11" s="49"/>
      <c r="J11" s="49"/>
      <c r="K11" s="49"/>
    </row>
    <row r="12" spans="1:11" ht="27.75" customHeight="1" x14ac:dyDescent="0.2">
      <c r="A12" s="11" t="s">
        <v>12</v>
      </c>
      <c r="B12" s="99">
        <f>Hospitality!B25</f>
        <v>300.5</v>
      </c>
      <c r="C12" s="107" t="str">
        <f>IF(Hospitality!B6="",A34,Hospitality!B6)</f>
        <v>Figures include GST (where applicable)</v>
      </c>
      <c r="D12" s="8"/>
      <c r="E12" s="11" t="s">
        <v>96</v>
      </c>
      <c r="F12" s="58">
        <f>'Gifts and benefits'!C26</f>
        <v>5</v>
      </c>
      <c r="G12" s="49"/>
      <c r="H12" s="49"/>
      <c r="I12" s="49"/>
      <c r="J12" s="49"/>
      <c r="K12" s="49"/>
    </row>
    <row r="13" spans="1:11" ht="27.75" customHeight="1" x14ac:dyDescent="0.2">
      <c r="A13" s="11" t="s">
        <v>30</v>
      </c>
      <c r="B13" s="99">
        <f>'All other expenses'!B33</f>
        <v>7346.4299999999985</v>
      </c>
      <c r="C13" s="107" t="str">
        <f>IF('All other expenses'!B6="",A34,'All other expenses'!B6)</f>
        <v>Figures include GST (where applicable)</v>
      </c>
      <c r="D13" s="8"/>
      <c r="E13" s="11" t="s">
        <v>97</v>
      </c>
      <c r="F13" s="58">
        <f>'Gifts and benefits'!C27</f>
        <v>6</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Travel!B38</f>
        <v>13019.85</v>
      </c>
      <c r="C15" s="109" t="str">
        <f>C11</f>
        <v>Figures include GST (where applicable)</v>
      </c>
      <c r="D15" s="8"/>
      <c r="E15" s="8"/>
      <c r="F15" s="60"/>
      <c r="G15" s="48"/>
      <c r="H15" s="48"/>
      <c r="I15" s="48"/>
      <c r="J15" s="48"/>
      <c r="K15" s="48"/>
    </row>
    <row r="16" spans="1:11" ht="27.75" customHeight="1" x14ac:dyDescent="0.2">
      <c r="A16" s="12" t="s">
        <v>91</v>
      </c>
      <c r="B16" s="101">
        <f>Travel!B100</f>
        <v>9410.35</v>
      </c>
      <c r="C16" s="109" t="str">
        <f>C11</f>
        <v>Figures include GST (where applicable)</v>
      </c>
      <c r="D16" s="61"/>
      <c r="E16" s="8"/>
      <c r="F16" s="62"/>
      <c r="G16" s="48"/>
      <c r="H16" s="48"/>
      <c r="I16" s="48"/>
      <c r="J16" s="48"/>
      <c r="K16" s="48"/>
    </row>
    <row r="17" spans="1:11" ht="27.75" customHeight="1" x14ac:dyDescent="0.2">
      <c r="A17" s="12" t="s">
        <v>46</v>
      </c>
      <c r="B17" s="101">
        <f>Travel!B110</f>
        <v>26.9</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COUNT(Travel!B12:B37)</f>
        <v>23</v>
      </c>
      <c r="C54" s="134"/>
      <c r="D54" s="134">
        <f>COUNTIF(Travel!D12:D37,"*")</f>
        <v>23</v>
      </c>
      <c r="E54" s="135"/>
      <c r="F54" s="135" t="b">
        <f>MIN(B54,D54)=MAX(B54,D54)</f>
        <v>1</v>
      </c>
      <c r="G54" s="48"/>
      <c r="H54" s="48"/>
      <c r="I54" s="48"/>
      <c r="J54" s="48"/>
      <c r="K54" s="48"/>
    </row>
    <row r="55" spans="1:11" hidden="1" x14ac:dyDescent="0.2">
      <c r="A55" s="144" t="s">
        <v>111</v>
      </c>
      <c r="B55" s="134">
        <f>COUNT(Travel!B42:B99)</f>
        <v>54</v>
      </c>
      <c r="C55" s="134"/>
      <c r="D55" s="134">
        <f>COUNTIF(Travel!D42:D99,"*")</f>
        <v>54</v>
      </c>
      <c r="E55" s="135"/>
      <c r="F55" s="135" t="b">
        <f>MIN(B55,D55)=MAX(B55,D55)</f>
        <v>1</v>
      </c>
    </row>
    <row r="56" spans="1:11" hidden="1" x14ac:dyDescent="0.2">
      <c r="A56" s="145"/>
      <c r="B56" s="134">
        <f>COUNT(Travel!B104:B109)</f>
        <v>2</v>
      </c>
      <c r="C56" s="134"/>
      <c r="D56" s="134">
        <f>COUNTIF(Travel!D104:D109,"*")</f>
        <v>2</v>
      </c>
      <c r="E56" s="135"/>
      <c r="F56" s="135" t="b">
        <f>MIN(B56,D56)=MAX(B56,D56)</f>
        <v>1</v>
      </c>
    </row>
    <row r="57" spans="1:11" hidden="1" x14ac:dyDescent="0.2">
      <c r="A57" s="146" t="s">
        <v>109</v>
      </c>
      <c r="B57" s="136">
        <f>COUNT(Hospitality!B11:B24)</f>
        <v>2</v>
      </c>
      <c r="C57" s="136"/>
      <c r="D57" s="136">
        <f>COUNTIF(Hospitality!D11:D24,"*")</f>
        <v>2</v>
      </c>
      <c r="E57" s="137"/>
      <c r="F57" s="137" t="b">
        <f>MIN(B57,D57)=MAX(B57,D57)</f>
        <v>1</v>
      </c>
    </row>
    <row r="58" spans="1:11" hidden="1" x14ac:dyDescent="0.2">
      <c r="A58" s="147" t="s">
        <v>110</v>
      </c>
      <c r="B58" s="135">
        <f>COUNT('All other expenses'!B11:B32)</f>
        <v>18</v>
      </c>
      <c r="C58" s="135"/>
      <c r="D58" s="135">
        <f>COUNTIF('All other expenses'!D11:D32,"*")</f>
        <v>18</v>
      </c>
      <c r="E58" s="135"/>
      <c r="F58" s="135" t="b">
        <f>MIN(B58,D58)=MAX(B58,D58)</f>
        <v>1</v>
      </c>
    </row>
    <row r="59" spans="1:11" hidden="1" x14ac:dyDescent="0.2">
      <c r="A59" s="146" t="s">
        <v>108</v>
      </c>
      <c r="B59" s="136">
        <f>COUNTIF('Gifts and benefits'!B11:B24,"*")</f>
        <v>11</v>
      </c>
      <c r="C59" s="136">
        <f>COUNTIF('Gifts and benefits'!C11:C24,"*")</f>
        <v>11</v>
      </c>
      <c r="D59" s="136"/>
      <c r="E59" s="136">
        <f>COUNTA('Gifts and benefits'!E11:E24)</f>
        <v>11</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2"/>
  <sheetViews>
    <sheetView topLeftCell="A24" zoomScale="80" zoomScaleNormal="80" workbookViewId="0">
      <selection activeCell="C89" sqref="C8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95" t="s">
        <v>6</v>
      </c>
      <c r="B1" s="195"/>
      <c r="C1" s="195"/>
      <c r="D1" s="195"/>
      <c r="E1" s="195"/>
      <c r="F1" s="48"/>
    </row>
    <row r="2" spans="1:6" ht="21" customHeight="1" x14ac:dyDescent="0.2">
      <c r="A2" s="4" t="s">
        <v>2</v>
      </c>
      <c r="B2" s="198" t="str">
        <f>'Summary and sign-off'!B2:F2</f>
        <v>Maritime New Zealand</v>
      </c>
      <c r="C2" s="198"/>
      <c r="D2" s="198"/>
      <c r="E2" s="198"/>
      <c r="F2" s="48"/>
    </row>
    <row r="3" spans="1:6" ht="21" customHeight="1" x14ac:dyDescent="0.2">
      <c r="A3" s="4" t="s">
        <v>3</v>
      </c>
      <c r="B3" s="198" t="str">
        <f>'Summary and sign-off'!B3:F3</f>
        <v>Keith Manch</v>
      </c>
      <c r="C3" s="198"/>
      <c r="D3" s="198"/>
      <c r="E3" s="198"/>
      <c r="F3" s="48"/>
    </row>
    <row r="4" spans="1:6" ht="21" customHeight="1" x14ac:dyDescent="0.2">
      <c r="A4" s="4" t="s">
        <v>77</v>
      </c>
      <c r="B4" s="198">
        <f>'Summary and sign-off'!B4:F4</f>
        <v>43282</v>
      </c>
      <c r="C4" s="198"/>
      <c r="D4" s="198"/>
      <c r="E4" s="198"/>
      <c r="F4" s="48"/>
    </row>
    <row r="5" spans="1:6" ht="21" customHeight="1" x14ac:dyDescent="0.2">
      <c r="A5" s="4" t="s">
        <v>78</v>
      </c>
      <c r="B5" s="198">
        <f>'Summary and sign-off'!B5:F5</f>
        <v>43646</v>
      </c>
      <c r="C5" s="198"/>
      <c r="D5" s="198"/>
      <c r="E5" s="198"/>
      <c r="F5" s="48"/>
    </row>
    <row r="6" spans="1:6" ht="21" customHeight="1" x14ac:dyDescent="0.2">
      <c r="A6" s="4" t="s">
        <v>29</v>
      </c>
      <c r="B6" s="193" t="s">
        <v>64</v>
      </c>
      <c r="C6" s="193"/>
      <c r="D6" s="193"/>
      <c r="E6" s="193"/>
      <c r="F6" s="48"/>
    </row>
    <row r="7" spans="1:6" ht="21" customHeight="1" x14ac:dyDescent="0.2">
      <c r="A7" s="4" t="s">
        <v>104</v>
      </c>
      <c r="B7" s="193" t="s">
        <v>116</v>
      </c>
      <c r="C7" s="193"/>
      <c r="D7" s="193"/>
      <c r="E7" s="193"/>
      <c r="F7" s="48"/>
    </row>
    <row r="8" spans="1:6" ht="36" customHeight="1" x14ac:dyDescent="0.2">
      <c r="A8" s="201" t="s">
        <v>4</v>
      </c>
      <c r="B8" s="202"/>
      <c r="C8" s="202"/>
      <c r="D8" s="202"/>
      <c r="E8" s="202"/>
      <c r="F8" s="24"/>
    </row>
    <row r="9" spans="1:6" ht="36" customHeight="1" x14ac:dyDescent="0.2">
      <c r="A9" s="203" t="s">
        <v>142</v>
      </c>
      <c r="B9" s="204"/>
      <c r="C9" s="204"/>
      <c r="D9" s="204"/>
      <c r="E9" s="204"/>
      <c r="F9" s="24"/>
    </row>
    <row r="10" spans="1:6" ht="24.75" customHeight="1" x14ac:dyDescent="0.2">
      <c r="A10" s="200" t="s">
        <v>143</v>
      </c>
      <c r="B10" s="205"/>
      <c r="C10" s="200"/>
      <c r="D10" s="200"/>
      <c r="E10" s="200"/>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ht="25.5" x14ac:dyDescent="0.2">
      <c r="A13" s="170">
        <v>43383</v>
      </c>
      <c r="B13" s="171">
        <v>944.18</v>
      </c>
      <c r="C13" s="184" t="s">
        <v>237</v>
      </c>
      <c r="D13" s="172" t="s">
        <v>172</v>
      </c>
      <c r="E13" s="167" t="s">
        <v>238</v>
      </c>
      <c r="F13" s="162"/>
    </row>
    <row r="14" spans="1:6" s="89" customFormat="1" ht="25.5" x14ac:dyDescent="0.2">
      <c r="A14" s="170">
        <v>43383</v>
      </c>
      <c r="B14" s="171">
        <v>932</v>
      </c>
      <c r="C14" s="184" t="s">
        <v>304</v>
      </c>
      <c r="D14" s="177" t="s">
        <v>183</v>
      </c>
      <c r="E14" s="158" t="s">
        <v>238</v>
      </c>
      <c r="F14" s="161"/>
    </row>
    <row r="15" spans="1:6" s="89" customFormat="1" ht="25.5" x14ac:dyDescent="0.2">
      <c r="A15" s="159">
        <v>43384</v>
      </c>
      <c r="B15" s="160">
        <v>29.21</v>
      </c>
      <c r="C15" s="185" t="s">
        <v>239</v>
      </c>
      <c r="D15" s="172" t="s">
        <v>198</v>
      </c>
      <c r="E15" s="167" t="s">
        <v>238</v>
      </c>
      <c r="F15" s="162"/>
    </row>
    <row r="16" spans="1:6" s="89" customFormat="1" ht="25.5" x14ac:dyDescent="0.2">
      <c r="A16" s="159">
        <v>43384</v>
      </c>
      <c r="B16" s="160">
        <v>237.34</v>
      </c>
      <c r="C16" s="185" t="s">
        <v>240</v>
      </c>
      <c r="D16" s="162" t="s">
        <v>198</v>
      </c>
      <c r="E16" s="162" t="s">
        <v>238</v>
      </c>
      <c r="F16" s="162"/>
    </row>
    <row r="17" spans="1:6" s="89" customFormat="1" ht="25.5" x14ac:dyDescent="0.2">
      <c r="A17" s="159">
        <v>43384</v>
      </c>
      <c r="B17" s="160">
        <v>33.590000000000003</v>
      </c>
      <c r="C17" s="185" t="s">
        <v>239</v>
      </c>
      <c r="D17" s="162" t="s">
        <v>198</v>
      </c>
      <c r="E17" s="162" t="s">
        <v>238</v>
      </c>
      <c r="F17" s="162"/>
    </row>
    <row r="18" spans="1:6" s="89" customFormat="1" ht="25.5" x14ac:dyDescent="0.2">
      <c r="A18" s="159">
        <v>43385</v>
      </c>
      <c r="B18" s="160">
        <v>11.55</v>
      </c>
      <c r="C18" s="185" t="s">
        <v>302</v>
      </c>
      <c r="D18" s="162" t="s">
        <v>198</v>
      </c>
      <c r="E18" s="162" t="s">
        <v>238</v>
      </c>
      <c r="F18" s="162"/>
    </row>
    <row r="19" spans="1:6" s="89" customFormat="1" ht="25.5" x14ac:dyDescent="0.2">
      <c r="A19" s="159">
        <v>43386</v>
      </c>
      <c r="B19" s="160">
        <v>43.3</v>
      </c>
      <c r="C19" s="185" t="s">
        <v>241</v>
      </c>
      <c r="D19" s="162" t="s">
        <v>169</v>
      </c>
      <c r="E19" s="162" t="s">
        <v>238</v>
      </c>
      <c r="F19" s="162"/>
    </row>
    <row r="20" spans="1:6" s="89" customFormat="1" ht="25.5" x14ac:dyDescent="0.2">
      <c r="A20" s="159">
        <v>43386</v>
      </c>
      <c r="B20" s="160">
        <v>22.97</v>
      </c>
      <c r="C20" s="185" t="s">
        <v>239</v>
      </c>
      <c r="D20" s="162" t="s">
        <v>198</v>
      </c>
      <c r="E20" s="162" t="s">
        <v>238</v>
      </c>
      <c r="F20" s="162"/>
    </row>
    <row r="21" spans="1:6" s="89" customFormat="1" ht="25.5" x14ac:dyDescent="0.2">
      <c r="A21" s="159">
        <v>43387</v>
      </c>
      <c r="B21" s="160">
        <v>31.9</v>
      </c>
      <c r="C21" s="186" t="s">
        <v>242</v>
      </c>
      <c r="D21" s="162" t="s">
        <v>169</v>
      </c>
      <c r="E21" s="162" t="s">
        <v>170</v>
      </c>
      <c r="F21" s="162"/>
    </row>
    <row r="22" spans="1:6" s="89" customFormat="1" x14ac:dyDescent="0.2">
      <c r="A22" s="166">
        <v>43565</v>
      </c>
      <c r="B22" s="163">
        <v>3982.99</v>
      </c>
      <c r="C22" s="185" t="s">
        <v>243</v>
      </c>
      <c r="D22" s="180" t="s">
        <v>244</v>
      </c>
      <c r="E22" s="161" t="s">
        <v>303</v>
      </c>
      <c r="F22" s="161"/>
    </row>
    <row r="23" spans="1:6" s="89" customFormat="1" x14ac:dyDescent="0.2">
      <c r="A23" s="156">
        <v>43565</v>
      </c>
      <c r="B23" s="157">
        <v>771.76</v>
      </c>
      <c r="C23" s="187" t="s">
        <v>305</v>
      </c>
      <c r="D23" s="158" t="s">
        <v>183</v>
      </c>
      <c r="E23" s="158" t="s">
        <v>245</v>
      </c>
      <c r="F23" s="158"/>
    </row>
    <row r="24" spans="1:6" s="89" customFormat="1" ht="25.5" x14ac:dyDescent="0.2">
      <c r="A24" s="166">
        <v>43566</v>
      </c>
      <c r="B24" s="163">
        <v>31.8</v>
      </c>
      <c r="C24" s="186" t="s">
        <v>246</v>
      </c>
      <c r="D24" s="158" t="s">
        <v>169</v>
      </c>
      <c r="E24" s="158" t="s">
        <v>170</v>
      </c>
      <c r="F24" s="158"/>
    </row>
    <row r="25" spans="1:6" s="89" customFormat="1" ht="25.5" x14ac:dyDescent="0.2">
      <c r="A25" s="156">
        <v>43566</v>
      </c>
      <c r="B25" s="157">
        <v>36.479999999999997</v>
      </c>
      <c r="C25" s="186" t="s">
        <v>247</v>
      </c>
      <c r="D25" s="158" t="s">
        <v>169</v>
      </c>
      <c r="E25" s="158" t="s">
        <v>245</v>
      </c>
      <c r="F25" s="158"/>
    </row>
    <row r="26" spans="1:6" s="89" customFormat="1" ht="25.5" x14ac:dyDescent="0.2">
      <c r="A26" s="166">
        <v>43567</v>
      </c>
      <c r="B26" s="163">
        <v>67.739999999999995</v>
      </c>
      <c r="C26" s="186" t="s">
        <v>248</v>
      </c>
      <c r="D26" s="158" t="s">
        <v>187</v>
      </c>
      <c r="E26" s="158"/>
      <c r="F26" s="158"/>
    </row>
    <row r="27" spans="1:6" s="89" customFormat="1" x14ac:dyDescent="0.2">
      <c r="A27" s="166">
        <v>43567</v>
      </c>
      <c r="B27" s="163">
        <v>17.22</v>
      </c>
      <c r="C27" s="186" t="s">
        <v>249</v>
      </c>
      <c r="D27" s="158" t="s">
        <v>169</v>
      </c>
      <c r="E27" s="158" t="s">
        <v>245</v>
      </c>
      <c r="F27" s="158"/>
    </row>
    <row r="28" spans="1:6" s="89" customFormat="1" ht="25.5" x14ac:dyDescent="0.2">
      <c r="A28" s="166">
        <v>43568</v>
      </c>
      <c r="B28" s="157">
        <v>1319.44</v>
      </c>
      <c r="C28" s="185" t="s">
        <v>306</v>
      </c>
      <c r="D28" s="158" t="s">
        <v>183</v>
      </c>
      <c r="E28" s="158" t="s">
        <v>250</v>
      </c>
      <c r="F28" s="158"/>
    </row>
    <row r="29" spans="1:6" s="89" customFormat="1" ht="25.5" x14ac:dyDescent="0.2">
      <c r="A29" s="166">
        <v>43572</v>
      </c>
      <c r="B29" s="163">
        <v>167.04</v>
      </c>
      <c r="C29" s="185" t="s">
        <v>251</v>
      </c>
      <c r="D29" s="158" t="s">
        <v>187</v>
      </c>
      <c r="E29" s="158" t="s">
        <v>250</v>
      </c>
      <c r="F29" s="158"/>
    </row>
    <row r="30" spans="1:6" s="89" customFormat="1" ht="25.5" x14ac:dyDescent="0.2">
      <c r="A30" s="159">
        <v>43572</v>
      </c>
      <c r="B30" s="164">
        <v>33.299999999999997</v>
      </c>
      <c r="C30" s="185" t="s">
        <v>252</v>
      </c>
      <c r="D30" s="167" t="s">
        <v>169</v>
      </c>
      <c r="E30" s="167" t="s">
        <v>170</v>
      </c>
      <c r="F30" s="167"/>
    </row>
    <row r="31" spans="1:6" s="89" customFormat="1" ht="25.5" x14ac:dyDescent="0.2">
      <c r="A31" s="156">
        <v>43507</v>
      </c>
      <c r="B31" s="163">
        <v>1210</v>
      </c>
      <c r="C31" s="185" t="s">
        <v>312</v>
      </c>
      <c r="D31" s="165" t="s">
        <v>253</v>
      </c>
      <c r="E31" s="161" t="s">
        <v>254</v>
      </c>
      <c r="F31" s="161"/>
    </row>
    <row r="32" spans="1:6" s="89" customFormat="1" ht="25.5" x14ac:dyDescent="0.2">
      <c r="A32" s="166">
        <v>43605</v>
      </c>
      <c r="B32" s="163">
        <v>1916.09</v>
      </c>
      <c r="C32" s="185" t="s">
        <v>313</v>
      </c>
      <c r="D32" s="165" t="s">
        <v>176</v>
      </c>
      <c r="E32" s="161" t="s">
        <v>254</v>
      </c>
      <c r="F32" s="161"/>
    </row>
    <row r="33" spans="1:6" s="89" customFormat="1" ht="25.5" x14ac:dyDescent="0.2">
      <c r="A33" s="168">
        <v>43605</v>
      </c>
      <c r="B33" s="163">
        <v>64.709999999999994</v>
      </c>
      <c r="C33" s="185" t="s">
        <v>314</v>
      </c>
      <c r="D33" s="165" t="s">
        <v>169</v>
      </c>
      <c r="E33" s="161" t="s">
        <v>254</v>
      </c>
      <c r="F33" s="161"/>
    </row>
    <row r="34" spans="1:6" s="89" customFormat="1" ht="25.5" x14ac:dyDescent="0.2">
      <c r="A34" s="168">
        <v>43612</v>
      </c>
      <c r="B34" s="163">
        <v>30.4</v>
      </c>
      <c r="C34" s="185" t="s">
        <v>315</v>
      </c>
      <c r="D34" s="165" t="s">
        <v>169</v>
      </c>
      <c r="E34" s="161" t="s">
        <v>170</v>
      </c>
      <c r="F34" s="161"/>
    </row>
    <row r="35" spans="1:6" s="89" customFormat="1" ht="25.5" x14ac:dyDescent="0.2">
      <c r="A35" s="168">
        <v>43612</v>
      </c>
      <c r="B35" s="169">
        <v>1084.8399999999999</v>
      </c>
      <c r="C35" s="185" t="s">
        <v>316</v>
      </c>
      <c r="D35" s="167" t="s">
        <v>183</v>
      </c>
      <c r="E35" s="167" t="s">
        <v>254</v>
      </c>
      <c r="F35" s="161"/>
    </row>
    <row r="36" spans="1:6" s="89" customFormat="1" x14ac:dyDescent="0.2">
      <c r="A36" s="110"/>
      <c r="B36" s="111"/>
      <c r="C36" s="112"/>
      <c r="D36" s="112"/>
      <c r="E36" s="113"/>
      <c r="F36" s="1"/>
    </row>
    <row r="37" spans="1:6" s="89" customFormat="1" hidden="1" x14ac:dyDescent="0.2">
      <c r="A37" s="124"/>
      <c r="B37" s="125"/>
      <c r="C37" s="126"/>
      <c r="D37" s="126"/>
      <c r="E37" s="127"/>
      <c r="F37" s="1"/>
    </row>
    <row r="38" spans="1:6" ht="19.5" customHeight="1" x14ac:dyDescent="0.2">
      <c r="A38" s="128" t="s">
        <v>154</v>
      </c>
      <c r="B38" s="129">
        <f>SUM(B12:B37)</f>
        <v>13019.85</v>
      </c>
      <c r="C38" s="130" t="str">
        <f>IF(SUBTOTAL(3,B12:B37)=SUBTOTAL(103,B12:B37),'Summary and sign-off'!$A$47,'Summary and sign-off'!$A$48)</f>
        <v>Check - there are no hidden rows with data</v>
      </c>
      <c r="D38" s="199" t="str">
        <f>IF('Summary and sign-off'!F54='Summary and sign-off'!F53,'Summary and sign-off'!A50,'Summary and sign-off'!A49)</f>
        <v>Check - each entry provides sufficient information</v>
      </c>
      <c r="E38" s="199"/>
      <c r="F38" s="48"/>
    </row>
    <row r="39" spans="1:6" ht="10.5" customHeight="1" x14ac:dyDescent="0.2">
      <c r="A39" s="29"/>
      <c r="B39" s="24"/>
      <c r="C39" s="29"/>
      <c r="D39" s="29"/>
      <c r="E39" s="29"/>
      <c r="F39" s="29"/>
    </row>
    <row r="40" spans="1:6" ht="24.75" customHeight="1" x14ac:dyDescent="0.2">
      <c r="A40" s="200" t="s">
        <v>92</v>
      </c>
      <c r="B40" s="200"/>
      <c r="C40" s="200"/>
      <c r="D40" s="200"/>
      <c r="E40" s="200"/>
      <c r="F40" s="49"/>
    </row>
    <row r="41" spans="1:6" ht="27" customHeight="1" x14ac:dyDescent="0.2">
      <c r="A41" s="37" t="s">
        <v>49</v>
      </c>
      <c r="B41" s="37" t="s">
        <v>31</v>
      </c>
      <c r="C41" s="37" t="s">
        <v>146</v>
      </c>
      <c r="D41" s="37" t="s">
        <v>102</v>
      </c>
      <c r="E41" s="37" t="s">
        <v>76</v>
      </c>
      <c r="F41" s="50"/>
    </row>
    <row r="42" spans="1:6" s="89" customFormat="1" hidden="1" x14ac:dyDescent="0.2">
      <c r="A42" s="114"/>
      <c r="B42" s="111"/>
      <c r="C42" s="112"/>
      <c r="D42" s="112"/>
      <c r="E42" s="113"/>
      <c r="F42" s="1"/>
    </row>
    <row r="43" spans="1:6" s="89" customFormat="1" ht="25.5" x14ac:dyDescent="0.2">
      <c r="A43" s="170">
        <v>43308</v>
      </c>
      <c r="B43" s="171">
        <v>34</v>
      </c>
      <c r="C43" s="190" t="s">
        <v>200</v>
      </c>
      <c r="D43" s="172" t="s">
        <v>198</v>
      </c>
      <c r="E43" s="167" t="s">
        <v>170</v>
      </c>
      <c r="F43" s="1"/>
    </row>
    <row r="44" spans="1:6" s="89" customFormat="1" x14ac:dyDescent="0.2">
      <c r="A44" s="170">
        <v>43308</v>
      </c>
      <c r="B44" s="160">
        <v>185.12</v>
      </c>
      <c r="C44" s="190" t="s">
        <v>201</v>
      </c>
      <c r="D44" s="172" t="s">
        <v>172</v>
      </c>
      <c r="E44" s="167" t="s">
        <v>175</v>
      </c>
      <c r="F44" s="1"/>
    </row>
    <row r="45" spans="1:6" s="89" customFormat="1" ht="25.5" x14ac:dyDescent="0.2">
      <c r="A45" s="168">
        <v>43316</v>
      </c>
      <c r="B45" s="160">
        <v>284</v>
      </c>
      <c r="C45" s="191" t="s">
        <v>317</v>
      </c>
      <c r="D45" s="172" t="s">
        <v>172</v>
      </c>
      <c r="E45" s="167" t="s">
        <v>173</v>
      </c>
      <c r="F45" s="1"/>
    </row>
    <row r="46" spans="1:6" s="89" customFormat="1" x14ac:dyDescent="0.2">
      <c r="A46" s="168">
        <v>43316</v>
      </c>
      <c r="B46" s="169">
        <v>29.9</v>
      </c>
      <c r="C46" s="191" t="s">
        <v>202</v>
      </c>
      <c r="D46" s="167" t="s">
        <v>169</v>
      </c>
      <c r="E46" s="167" t="s">
        <v>170</v>
      </c>
      <c r="F46" s="1"/>
    </row>
    <row r="47" spans="1:6" s="89" customFormat="1" ht="25.5" x14ac:dyDescent="0.2">
      <c r="A47" s="170">
        <v>43316</v>
      </c>
      <c r="B47" s="171">
        <v>88.3</v>
      </c>
      <c r="C47" s="191" t="s">
        <v>203</v>
      </c>
      <c r="D47" s="172" t="s">
        <v>169</v>
      </c>
      <c r="E47" s="167" t="s">
        <v>173</v>
      </c>
      <c r="F47" s="1"/>
    </row>
    <row r="48" spans="1:6" s="89" customFormat="1" x14ac:dyDescent="0.2">
      <c r="A48" s="170">
        <v>43322</v>
      </c>
      <c r="B48" s="171">
        <v>328.67</v>
      </c>
      <c r="C48" s="191" t="s">
        <v>204</v>
      </c>
      <c r="D48" s="172" t="s">
        <v>172</v>
      </c>
      <c r="E48" s="167" t="s">
        <v>173</v>
      </c>
      <c r="F48" s="1"/>
    </row>
    <row r="49" spans="1:6" s="89" customFormat="1" x14ac:dyDescent="0.2">
      <c r="A49" s="170">
        <v>43322</v>
      </c>
      <c r="B49" s="171">
        <v>34</v>
      </c>
      <c r="C49" s="191" t="s">
        <v>205</v>
      </c>
      <c r="D49" s="172" t="s">
        <v>178</v>
      </c>
      <c r="E49" s="167" t="s">
        <v>170</v>
      </c>
      <c r="F49" s="1"/>
    </row>
    <row r="50" spans="1:6" s="89" customFormat="1" x14ac:dyDescent="0.2">
      <c r="A50" s="170">
        <v>43322</v>
      </c>
      <c r="B50" s="171">
        <v>83.5</v>
      </c>
      <c r="C50" s="191" t="s">
        <v>206</v>
      </c>
      <c r="D50" s="172" t="s">
        <v>169</v>
      </c>
      <c r="E50" s="167" t="s">
        <v>173</v>
      </c>
      <c r="F50" s="1"/>
    </row>
    <row r="51" spans="1:6" s="89" customFormat="1" x14ac:dyDescent="0.2">
      <c r="A51" s="173">
        <v>43322</v>
      </c>
      <c r="B51" s="174">
        <v>73.7</v>
      </c>
      <c r="C51" s="191" t="s">
        <v>206</v>
      </c>
      <c r="D51" s="175" t="s">
        <v>207</v>
      </c>
      <c r="E51" s="176" t="s">
        <v>173</v>
      </c>
      <c r="F51" s="1"/>
    </row>
    <row r="52" spans="1:6" s="89" customFormat="1" x14ac:dyDescent="0.2">
      <c r="A52" s="168">
        <v>43361</v>
      </c>
      <c r="B52" s="171">
        <f>153.44+55</f>
        <v>208.44</v>
      </c>
      <c r="C52" s="184" t="s">
        <v>208</v>
      </c>
      <c r="D52" s="172" t="s">
        <v>172</v>
      </c>
      <c r="E52" s="162" t="s">
        <v>173</v>
      </c>
      <c r="F52" s="1"/>
    </row>
    <row r="53" spans="1:6" s="89" customFormat="1" ht="25.5" x14ac:dyDescent="0.2">
      <c r="A53" s="170">
        <v>43361</v>
      </c>
      <c r="B53" s="171">
        <v>67.3</v>
      </c>
      <c r="C53" s="184" t="s">
        <v>209</v>
      </c>
      <c r="D53" s="172" t="s">
        <v>169</v>
      </c>
      <c r="E53" s="167" t="s">
        <v>173</v>
      </c>
      <c r="F53" s="1"/>
    </row>
    <row r="54" spans="1:6" s="89" customFormat="1" x14ac:dyDescent="0.2">
      <c r="A54" s="170">
        <v>43361</v>
      </c>
      <c r="B54" s="171">
        <v>57.12</v>
      </c>
      <c r="C54" s="184" t="s">
        <v>210</v>
      </c>
      <c r="D54" s="172" t="s">
        <v>198</v>
      </c>
      <c r="E54" s="167" t="s">
        <v>173</v>
      </c>
      <c r="F54" s="1"/>
    </row>
    <row r="55" spans="1:6" s="89" customFormat="1" x14ac:dyDescent="0.2">
      <c r="A55" s="170">
        <v>43361</v>
      </c>
      <c r="B55" s="171">
        <v>199</v>
      </c>
      <c r="C55" s="184" t="s">
        <v>211</v>
      </c>
      <c r="D55" s="172" t="s">
        <v>183</v>
      </c>
      <c r="E55" s="167" t="s">
        <v>173</v>
      </c>
      <c r="F55" s="1"/>
    </row>
    <row r="56" spans="1:6" s="89" customFormat="1" ht="25.5" x14ac:dyDescent="0.2">
      <c r="A56" s="170">
        <v>43362</v>
      </c>
      <c r="B56" s="171">
        <v>33.799999999999997</v>
      </c>
      <c r="C56" s="184" t="s">
        <v>212</v>
      </c>
      <c r="D56" s="172" t="s">
        <v>169</v>
      </c>
      <c r="E56" s="167" t="s">
        <v>170</v>
      </c>
      <c r="F56" s="1"/>
    </row>
    <row r="57" spans="1:6" s="89" customFormat="1" ht="25.5" x14ac:dyDescent="0.2">
      <c r="A57" s="159">
        <v>43398</v>
      </c>
      <c r="B57" s="160">
        <v>44.3</v>
      </c>
      <c r="C57" s="185" t="s">
        <v>213</v>
      </c>
      <c r="D57" s="162" t="s">
        <v>198</v>
      </c>
      <c r="E57" s="162" t="s">
        <v>214</v>
      </c>
      <c r="F57" s="1"/>
    </row>
    <row r="58" spans="1:6" s="89" customFormat="1" ht="25.5" x14ac:dyDescent="0.2">
      <c r="A58" s="159">
        <v>43398</v>
      </c>
      <c r="B58" s="160">
        <v>32.4</v>
      </c>
      <c r="C58" s="185" t="s">
        <v>215</v>
      </c>
      <c r="D58" s="162" t="s">
        <v>169</v>
      </c>
      <c r="E58" s="162" t="s">
        <v>214</v>
      </c>
      <c r="F58" s="1"/>
    </row>
    <row r="59" spans="1:6" s="89" customFormat="1" ht="25.5" x14ac:dyDescent="0.2">
      <c r="A59" s="159">
        <v>43398</v>
      </c>
      <c r="B59" s="160">
        <v>35.1</v>
      </c>
      <c r="C59" s="185" t="s">
        <v>216</v>
      </c>
      <c r="D59" s="162" t="s">
        <v>169</v>
      </c>
      <c r="E59" s="162" t="s">
        <v>170</v>
      </c>
      <c r="F59" s="1"/>
    </row>
    <row r="60" spans="1:6" s="89" customFormat="1" ht="25.5" x14ac:dyDescent="0.2">
      <c r="A60" s="159">
        <v>43398</v>
      </c>
      <c r="B60" s="160">
        <v>303.92</v>
      </c>
      <c r="C60" s="185" t="s">
        <v>217</v>
      </c>
      <c r="D60" s="162" t="s">
        <v>172</v>
      </c>
      <c r="E60" s="162" t="s">
        <v>214</v>
      </c>
      <c r="F60" s="1"/>
    </row>
    <row r="61" spans="1:6" s="89" customFormat="1" x14ac:dyDescent="0.2">
      <c r="A61" s="159">
        <v>43399</v>
      </c>
      <c r="B61" s="160">
        <v>447.47</v>
      </c>
      <c r="C61" s="185" t="s">
        <v>218</v>
      </c>
      <c r="D61" s="162" t="s">
        <v>172</v>
      </c>
      <c r="E61" s="162" t="s">
        <v>179</v>
      </c>
      <c r="F61" s="1"/>
    </row>
    <row r="62" spans="1:6" s="89" customFormat="1" ht="25.5" x14ac:dyDescent="0.2">
      <c r="A62" s="159">
        <v>43399</v>
      </c>
      <c r="B62" s="160">
        <v>37.9</v>
      </c>
      <c r="C62" s="185" t="s">
        <v>219</v>
      </c>
      <c r="D62" s="162" t="s">
        <v>169</v>
      </c>
      <c r="E62" s="162" t="s">
        <v>170</v>
      </c>
      <c r="F62" s="1"/>
    </row>
    <row r="63" spans="1:6" s="89" customFormat="1" ht="25.5" x14ac:dyDescent="0.2">
      <c r="A63" s="159">
        <v>43399</v>
      </c>
      <c r="B63" s="160">
        <v>36.700000000000003</v>
      </c>
      <c r="C63" s="185" t="s">
        <v>219</v>
      </c>
      <c r="D63" s="162" t="s">
        <v>169</v>
      </c>
      <c r="E63" s="162" t="s">
        <v>170</v>
      </c>
      <c r="F63" s="1"/>
    </row>
    <row r="64" spans="1:6" s="89" customFormat="1" x14ac:dyDescent="0.2">
      <c r="A64" s="159">
        <v>43402</v>
      </c>
      <c r="B64" s="160">
        <v>398.96</v>
      </c>
      <c r="C64" s="185" t="s">
        <v>220</v>
      </c>
      <c r="D64" s="162" t="s">
        <v>172</v>
      </c>
      <c r="E64" s="162" t="s">
        <v>173</v>
      </c>
      <c r="F64" s="1"/>
    </row>
    <row r="65" spans="1:6" s="89" customFormat="1" ht="25.5" x14ac:dyDescent="0.2">
      <c r="A65" s="159">
        <v>43402</v>
      </c>
      <c r="B65" s="160">
        <v>34</v>
      </c>
      <c r="C65" s="185" t="s">
        <v>221</v>
      </c>
      <c r="D65" s="162" t="s">
        <v>178</v>
      </c>
      <c r="E65" s="162" t="s">
        <v>170</v>
      </c>
      <c r="F65" s="1"/>
    </row>
    <row r="66" spans="1:6" s="89" customFormat="1" ht="25.5" x14ac:dyDescent="0.2">
      <c r="A66" s="159">
        <v>43402</v>
      </c>
      <c r="B66" s="160">
        <v>99.27</v>
      </c>
      <c r="C66" s="185" t="s">
        <v>222</v>
      </c>
      <c r="D66" s="162" t="s">
        <v>185</v>
      </c>
      <c r="E66" s="162" t="s">
        <v>173</v>
      </c>
      <c r="F66" s="1"/>
    </row>
    <row r="67" spans="1:6" s="89" customFormat="1" x14ac:dyDescent="0.2">
      <c r="A67" s="159">
        <v>43403</v>
      </c>
      <c r="B67" s="164">
        <v>650.41999999999996</v>
      </c>
      <c r="C67" s="185" t="s">
        <v>223</v>
      </c>
      <c r="D67" s="162" t="s">
        <v>172</v>
      </c>
      <c r="E67" s="162" t="s">
        <v>224</v>
      </c>
      <c r="F67" s="1"/>
    </row>
    <row r="68" spans="1:6" s="89" customFormat="1" ht="25.5" x14ac:dyDescent="0.2">
      <c r="A68" s="159">
        <v>43403</v>
      </c>
      <c r="B68" s="160">
        <v>34</v>
      </c>
      <c r="C68" s="185" t="s">
        <v>225</v>
      </c>
      <c r="D68" s="162" t="s">
        <v>178</v>
      </c>
      <c r="E68" s="162" t="s">
        <v>170</v>
      </c>
      <c r="F68" s="1"/>
    </row>
    <row r="69" spans="1:6" s="89" customFormat="1" x14ac:dyDescent="0.2">
      <c r="A69" s="159">
        <v>43413</v>
      </c>
      <c r="B69" s="164">
        <v>292.02999999999997</v>
      </c>
      <c r="C69" s="185" t="s">
        <v>227</v>
      </c>
      <c r="D69" s="162" t="s">
        <v>172</v>
      </c>
      <c r="E69" s="162" t="s">
        <v>175</v>
      </c>
      <c r="F69" s="1"/>
    </row>
    <row r="70" spans="1:6" s="89" customFormat="1" ht="25.5" x14ac:dyDescent="0.2">
      <c r="A70" s="159">
        <v>43413</v>
      </c>
      <c r="B70" s="160">
        <v>14</v>
      </c>
      <c r="C70" s="185" t="s">
        <v>228</v>
      </c>
      <c r="D70" s="162" t="s">
        <v>178</v>
      </c>
      <c r="E70" s="162" t="s">
        <v>170</v>
      </c>
      <c r="F70" s="1"/>
    </row>
    <row r="71" spans="1:6" s="89" customFormat="1" ht="25.5" x14ac:dyDescent="0.2">
      <c r="A71" s="159">
        <v>43426</v>
      </c>
      <c r="B71" s="160">
        <v>34</v>
      </c>
      <c r="C71" s="185" t="s">
        <v>229</v>
      </c>
      <c r="D71" s="162" t="s">
        <v>178</v>
      </c>
      <c r="E71" s="162" t="s">
        <v>170</v>
      </c>
      <c r="F71" s="1"/>
    </row>
    <row r="72" spans="1:6" s="89" customFormat="1" x14ac:dyDescent="0.2">
      <c r="A72" s="168">
        <v>43426</v>
      </c>
      <c r="B72" s="164">
        <v>341.55</v>
      </c>
      <c r="C72" s="184" t="s">
        <v>230</v>
      </c>
      <c r="D72" s="172" t="s">
        <v>172</v>
      </c>
      <c r="E72" s="162" t="s">
        <v>231</v>
      </c>
      <c r="F72" s="1"/>
    </row>
    <row r="73" spans="1:6" s="89" customFormat="1" x14ac:dyDescent="0.2">
      <c r="A73" s="178">
        <v>43439</v>
      </c>
      <c r="B73" s="179">
        <v>34</v>
      </c>
      <c r="C73" s="184" t="s">
        <v>232</v>
      </c>
      <c r="D73" s="177" t="s">
        <v>178</v>
      </c>
      <c r="E73" s="161" t="s">
        <v>170</v>
      </c>
      <c r="F73" s="1"/>
    </row>
    <row r="74" spans="1:6" s="89" customFormat="1" x14ac:dyDescent="0.2">
      <c r="A74" s="156">
        <v>43439</v>
      </c>
      <c r="B74" s="157">
        <v>244.05</v>
      </c>
      <c r="C74" s="184" t="s">
        <v>233</v>
      </c>
      <c r="D74" s="177" t="s">
        <v>172</v>
      </c>
      <c r="E74" s="161" t="s">
        <v>179</v>
      </c>
      <c r="F74" s="1"/>
    </row>
    <row r="75" spans="1:6" s="89" customFormat="1" x14ac:dyDescent="0.2">
      <c r="A75" s="178">
        <v>43441</v>
      </c>
      <c r="B75" s="179">
        <v>34</v>
      </c>
      <c r="C75" s="188" t="s">
        <v>318</v>
      </c>
      <c r="D75" s="177" t="s">
        <v>178</v>
      </c>
      <c r="E75" s="161" t="s">
        <v>170</v>
      </c>
      <c r="F75" s="1"/>
    </row>
    <row r="76" spans="1:6" s="89" customFormat="1" x14ac:dyDescent="0.2">
      <c r="A76" s="156">
        <v>43441</v>
      </c>
      <c r="B76" s="157">
        <v>620.67999999999995</v>
      </c>
      <c r="C76" s="188" t="s">
        <v>319</v>
      </c>
      <c r="D76" s="158" t="s">
        <v>172</v>
      </c>
      <c r="E76" s="158" t="s">
        <v>231</v>
      </c>
      <c r="F76" s="1"/>
    </row>
    <row r="77" spans="1:6" s="89" customFormat="1" x14ac:dyDescent="0.2">
      <c r="A77" s="156">
        <v>43441</v>
      </c>
      <c r="B77" s="157">
        <v>51.36</v>
      </c>
      <c r="C77" s="188" t="s">
        <v>320</v>
      </c>
      <c r="D77" s="158" t="s">
        <v>234</v>
      </c>
      <c r="E77" s="158" t="s">
        <v>231</v>
      </c>
      <c r="F77" s="1"/>
    </row>
    <row r="78" spans="1:6" s="89" customFormat="1" x14ac:dyDescent="0.2">
      <c r="A78" s="156">
        <v>43453</v>
      </c>
      <c r="B78" s="179">
        <v>34</v>
      </c>
      <c r="C78" s="188" t="s">
        <v>235</v>
      </c>
      <c r="D78" s="177" t="s">
        <v>178</v>
      </c>
      <c r="E78" s="161" t="s">
        <v>170</v>
      </c>
      <c r="F78" s="1"/>
    </row>
    <row r="79" spans="1:6" s="89" customFormat="1" x14ac:dyDescent="0.2">
      <c r="A79" s="156">
        <v>43453</v>
      </c>
      <c r="B79" s="157">
        <v>164.34</v>
      </c>
      <c r="C79" s="188" t="s">
        <v>236</v>
      </c>
      <c r="D79" s="158" t="s">
        <v>172</v>
      </c>
      <c r="E79" s="158" t="s">
        <v>175</v>
      </c>
      <c r="F79" s="1"/>
    </row>
    <row r="80" spans="1:6" s="89" customFormat="1" x14ac:dyDescent="0.2">
      <c r="A80" s="156">
        <v>43549</v>
      </c>
      <c r="B80" s="163">
        <v>463.31</v>
      </c>
      <c r="C80" s="188" t="s">
        <v>174</v>
      </c>
      <c r="D80" s="161" t="s">
        <v>172</v>
      </c>
      <c r="E80" s="161" t="s">
        <v>175</v>
      </c>
      <c r="F80" s="1"/>
    </row>
    <row r="81" spans="1:6" s="89" customFormat="1" x14ac:dyDescent="0.2">
      <c r="A81" s="159">
        <v>43587</v>
      </c>
      <c r="B81" s="164">
        <v>34</v>
      </c>
      <c r="C81" s="185" t="s">
        <v>177</v>
      </c>
      <c r="D81" s="165" t="s">
        <v>178</v>
      </c>
      <c r="E81" s="161" t="s">
        <v>179</v>
      </c>
      <c r="F81" s="1"/>
    </row>
    <row r="82" spans="1:6" s="89" customFormat="1" x14ac:dyDescent="0.2">
      <c r="A82" s="159">
        <v>43587</v>
      </c>
      <c r="B82" s="164">
        <v>364.3</v>
      </c>
      <c r="C82" s="185" t="s">
        <v>180</v>
      </c>
      <c r="D82" s="165" t="s">
        <v>172</v>
      </c>
      <c r="E82" s="161" t="s">
        <v>179</v>
      </c>
      <c r="F82" s="1"/>
    </row>
    <row r="83" spans="1:6" s="89" customFormat="1" x14ac:dyDescent="0.2">
      <c r="A83" s="166">
        <v>43593</v>
      </c>
      <c r="B83" s="163">
        <v>413.82</v>
      </c>
      <c r="C83" s="185" t="s">
        <v>181</v>
      </c>
      <c r="D83" s="165" t="s">
        <v>172</v>
      </c>
      <c r="E83" s="161" t="s">
        <v>173</v>
      </c>
      <c r="F83" s="1"/>
    </row>
    <row r="84" spans="1:6" s="89" customFormat="1" x14ac:dyDescent="0.2">
      <c r="A84" s="156">
        <v>43593</v>
      </c>
      <c r="B84" s="157">
        <v>179</v>
      </c>
      <c r="C84" s="188" t="s">
        <v>182</v>
      </c>
      <c r="D84" s="158" t="s">
        <v>183</v>
      </c>
      <c r="E84" s="158" t="s">
        <v>173</v>
      </c>
      <c r="F84" s="1"/>
    </row>
    <row r="85" spans="1:6" s="89" customFormat="1" x14ac:dyDescent="0.2">
      <c r="A85" s="166">
        <v>43594</v>
      </c>
      <c r="B85" s="163">
        <v>85</v>
      </c>
      <c r="C85" s="185" t="s">
        <v>184</v>
      </c>
      <c r="D85" s="165" t="s">
        <v>185</v>
      </c>
      <c r="E85" s="161" t="s">
        <v>173</v>
      </c>
      <c r="F85" s="1"/>
    </row>
    <row r="86" spans="1:6" s="89" customFormat="1" ht="25.5" x14ac:dyDescent="0.2">
      <c r="A86" s="159">
        <v>43594</v>
      </c>
      <c r="B86" s="164">
        <v>65.5</v>
      </c>
      <c r="C86" s="185" t="s">
        <v>186</v>
      </c>
      <c r="D86" s="158" t="s">
        <v>187</v>
      </c>
      <c r="E86" s="167" t="s">
        <v>173</v>
      </c>
      <c r="F86" s="1"/>
    </row>
    <row r="87" spans="1:6" s="89" customFormat="1" ht="25.5" x14ac:dyDescent="0.2">
      <c r="A87" s="159">
        <v>43594</v>
      </c>
      <c r="B87" s="164">
        <v>27.5</v>
      </c>
      <c r="C87" s="185" t="s">
        <v>188</v>
      </c>
      <c r="D87" s="167" t="s">
        <v>187</v>
      </c>
      <c r="E87" s="167" t="s">
        <v>173</v>
      </c>
      <c r="F87" s="1"/>
    </row>
    <row r="88" spans="1:6" s="89" customFormat="1" x14ac:dyDescent="0.2">
      <c r="A88" s="168">
        <v>43613</v>
      </c>
      <c r="B88" s="163">
        <v>443.51</v>
      </c>
      <c r="C88" s="185" t="s">
        <v>189</v>
      </c>
      <c r="D88" s="165" t="s">
        <v>176</v>
      </c>
      <c r="E88" s="161" t="s">
        <v>173</v>
      </c>
      <c r="F88" s="1"/>
    </row>
    <row r="89" spans="1:6" s="89" customFormat="1" x14ac:dyDescent="0.2">
      <c r="A89" s="168">
        <v>43613</v>
      </c>
      <c r="B89" s="163">
        <v>190</v>
      </c>
      <c r="C89" s="185" t="s">
        <v>190</v>
      </c>
      <c r="D89" s="165" t="s">
        <v>183</v>
      </c>
      <c r="E89" s="161" t="s">
        <v>173</v>
      </c>
      <c r="F89" s="1"/>
    </row>
    <row r="90" spans="1:6" s="89" customFormat="1" x14ac:dyDescent="0.2">
      <c r="A90" s="168">
        <v>43613</v>
      </c>
      <c r="B90" s="169">
        <v>77</v>
      </c>
      <c r="C90" s="185" t="s">
        <v>191</v>
      </c>
      <c r="D90" s="167" t="s">
        <v>169</v>
      </c>
      <c r="E90" s="167" t="s">
        <v>173</v>
      </c>
      <c r="F90" s="1"/>
    </row>
    <row r="91" spans="1:6" s="89" customFormat="1" x14ac:dyDescent="0.2">
      <c r="A91" s="168">
        <v>43614</v>
      </c>
      <c r="B91" s="169">
        <v>80.400000000000006</v>
      </c>
      <c r="C91" s="185" t="s">
        <v>192</v>
      </c>
      <c r="D91" s="167" t="s">
        <v>169</v>
      </c>
      <c r="E91" s="167" t="s">
        <v>173</v>
      </c>
      <c r="F91" s="1"/>
    </row>
    <row r="92" spans="1:6" s="89" customFormat="1" ht="25.5" x14ac:dyDescent="0.2">
      <c r="A92" s="159">
        <v>43614</v>
      </c>
      <c r="B92" s="163">
        <v>42</v>
      </c>
      <c r="C92" s="185" t="s">
        <v>193</v>
      </c>
      <c r="D92" s="165" t="s">
        <v>178</v>
      </c>
      <c r="E92" s="162" t="s">
        <v>194</v>
      </c>
      <c r="F92" s="1"/>
    </row>
    <row r="93" spans="1:6" s="89" customFormat="1" x14ac:dyDescent="0.2">
      <c r="A93" s="159">
        <v>43640</v>
      </c>
      <c r="B93" s="163">
        <f>381.05+340.56</f>
        <v>721.61</v>
      </c>
      <c r="C93" s="189" t="s">
        <v>195</v>
      </c>
      <c r="D93" s="165" t="s">
        <v>176</v>
      </c>
      <c r="E93" s="162" t="s">
        <v>173</v>
      </c>
      <c r="F93" s="1"/>
    </row>
    <row r="94" spans="1:6" s="89" customFormat="1" x14ac:dyDescent="0.2">
      <c r="A94" s="159">
        <v>43640</v>
      </c>
      <c r="B94" s="163">
        <v>188.1</v>
      </c>
      <c r="C94" s="189" t="s">
        <v>196</v>
      </c>
      <c r="D94" s="165" t="s">
        <v>183</v>
      </c>
      <c r="E94" s="162" t="s">
        <v>173</v>
      </c>
      <c r="F94" s="1"/>
    </row>
    <row r="95" spans="1:6" s="89" customFormat="1" ht="25.5" x14ac:dyDescent="0.2">
      <c r="A95" s="159">
        <v>43640</v>
      </c>
      <c r="B95" s="163">
        <v>242</v>
      </c>
      <c r="C95" s="189" t="s">
        <v>197</v>
      </c>
      <c r="D95" s="165" t="s">
        <v>198</v>
      </c>
      <c r="E95" s="162" t="s">
        <v>173</v>
      </c>
      <c r="F95" s="1"/>
    </row>
    <row r="96" spans="1:6" s="89" customFormat="1" x14ac:dyDescent="0.2">
      <c r="A96" s="159">
        <v>43641</v>
      </c>
      <c r="B96" s="163">
        <v>68</v>
      </c>
      <c r="C96" s="189" t="s">
        <v>199</v>
      </c>
      <c r="D96" s="165" t="s">
        <v>178</v>
      </c>
      <c r="E96" s="162" t="s">
        <v>194</v>
      </c>
      <c r="F96" s="1"/>
    </row>
    <row r="97" spans="1:6" s="89" customFormat="1" x14ac:dyDescent="0.2">
      <c r="A97" s="114"/>
      <c r="B97" s="111"/>
      <c r="C97" s="112"/>
      <c r="D97" s="112"/>
      <c r="E97" s="113"/>
      <c r="F97" s="1"/>
    </row>
    <row r="98" spans="1:6" s="89" customFormat="1" x14ac:dyDescent="0.2">
      <c r="A98" s="114"/>
      <c r="B98" s="111"/>
      <c r="C98" s="112"/>
      <c r="D98" s="112"/>
      <c r="E98" s="113"/>
      <c r="F98" s="1"/>
    </row>
    <row r="99" spans="1:6" s="89" customFormat="1" hidden="1" x14ac:dyDescent="0.2">
      <c r="A99" s="114"/>
      <c r="B99" s="111"/>
      <c r="C99" s="112"/>
      <c r="D99" s="112"/>
      <c r="E99" s="113"/>
      <c r="F99" s="1"/>
    </row>
    <row r="100" spans="1:6" ht="19.5" customHeight="1" x14ac:dyDescent="0.2">
      <c r="A100" s="128" t="s">
        <v>155</v>
      </c>
      <c r="B100" s="129">
        <f>SUM(B42:B99)</f>
        <v>9410.35</v>
      </c>
      <c r="C100" s="130" t="str">
        <f>IF(SUBTOTAL(3,B42:B99)=SUBTOTAL(103,B42:B99),'Summary and sign-off'!$A$47,'Summary and sign-off'!$A$48)</f>
        <v>Check - there are no hidden rows with data</v>
      </c>
      <c r="D100" s="199" t="str">
        <f>IF('Summary and sign-off'!F55='Summary and sign-off'!F53,'Summary and sign-off'!A50,'Summary and sign-off'!A49)</f>
        <v>Check - each entry provides sufficient information</v>
      </c>
      <c r="E100" s="199"/>
      <c r="F100" s="48"/>
    </row>
    <row r="101" spans="1:6" ht="10.5" customHeight="1" x14ac:dyDescent="0.2">
      <c r="A101" s="29"/>
      <c r="B101" s="24"/>
      <c r="C101" s="29"/>
      <c r="D101" s="29"/>
      <c r="E101" s="29"/>
      <c r="F101" s="29"/>
    </row>
    <row r="102" spans="1:6" ht="24.75" customHeight="1" x14ac:dyDescent="0.2">
      <c r="A102" s="200" t="s">
        <v>44</v>
      </c>
      <c r="B102" s="200"/>
      <c r="C102" s="200"/>
      <c r="D102" s="200"/>
      <c r="E102" s="200"/>
      <c r="F102" s="48"/>
    </row>
    <row r="103" spans="1:6" ht="27" customHeight="1" x14ac:dyDescent="0.2">
      <c r="A103" s="37" t="s">
        <v>49</v>
      </c>
      <c r="B103" s="37" t="s">
        <v>31</v>
      </c>
      <c r="C103" s="37" t="s">
        <v>147</v>
      </c>
      <c r="D103" s="37" t="s">
        <v>88</v>
      </c>
      <c r="E103" s="37" t="s">
        <v>76</v>
      </c>
      <c r="F103" s="51"/>
    </row>
    <row r="104" spans="1:6" s="89" customFormat="1" hidden="1" x14ac:dyDescent="0.2">
      <c r="A104" s="114"/>
      <c r="B104" s="111"/>
      <c r="C104" s="112"/>
      <c r="D104" s="112"/>
      <c r="E104" s="113"/>
      <c r="F104" s="1"/>
    </row>
    <row r="105" spans="1:6" s="89" customFormat="1" x14ac:dyDescent="0.2">
      <c r="A105" s="156">
        <v>43538</v>
      </c>
      <c r="B105" s="157">
        <v>12.4</v>
      </c>
      <c r="C105" s="158" t="s">
        <v>168</v>
      </c>
      <c r="D105" s="158" t="s">
        <v>169</v>
      </c>
      <c r="E105" s="158" t="s">
        <v>170</v>
      </c>
      <c r="F105" s="1"/>
    </row>
    <row r="106" spans="1:6" s="89" customFormat="1" x14ac:dyDescent="0.2">
      <c r="A106" s="159">
        <v>43411</v>
      </c>
      <c r="B106" s="160">
        <v>14.5</v>
      </c>
      <c r="C106" s="161" t="s">
        <v>171</v>
      </c>
      <c r="D106" s="162" t="s">
        <v>169</v>
      </c>
      <c r="E106" s="162" t="s">
        <v>170</v>
      </c>
      <c r="F106" s="1"/>
    </row>
    <row r="107" spans="1:6" s="89" customFormat="1" x14ac:dyDescent="0.2">
      <c r="A107" s="114"/>
      <c r="B107" s="111"/>
      <c r="C107" s="112"/>
      <c r="D107" s="112"/>
      <c r="E107" s="113"/>
      <c r="F107" s="1"/>
    </row>
    <row r="108" spans="1:6" s="89" customFormat="1" x14ac:dyDescent="0.2">
      <c r="A108" s="114"/>
      <c r="B108" s="111"/>
      <c r="C108" s="112"/>
      <c r="D108" s="112"/>
      <c r="E108" s="113"/>
      <c r="F108" s="1"/>
    </row>
    <row r="109" spans="1:6" s="89" customFormat="1" hidden="1" x14ac:dyDescent="0.2">
      <c r="A109" s="114"/>
      <c r="B109" s="111"/>
      <c r="C109" s="112"/>
      <c r="D109" s="112"/>
      <c r="E109" s="113"/>
      <c r="F109" s="1"/>
    </row>
    <row r="110" spans="1:6" ht="19.5" customHeight="1" x14ac:dyDescent="0.2">
      <c r="A110" s="128" t="s">
        <v>152</v>
      </c>
      <c r="B110" s="129">
        <f>SUM(B104:B109)</f>
        <v>26.9</v>
      </c>
      <c r="C110" s="130" t="str">
        <f>IF(SUBTOTAL(3,B104:B109)=SUBTOTAL(103,B104:B109),'Summary and sign-off'!$A$47,'Summary and sign-off'!$A$48)</f>
        <v>Check - there are no hidden rows with data</v>
      </c>
      <c r="D110" s="199" t="str">
        <f>IF('Summary and sign-off'!F56='Summary and sign-off'!F53,'Summary and sign-off'!A50,'Summary and sign-off'!A49)</f>
        <v>Check - each entry provides sufficient information</v>
      </c>
      <c r="E110" s="199"/>
      <c r="F110" s="48"/>
    </row>
    <row r="111" spans="1:6" ht="10.5" customHeight="1" x14ac:dyDescent="0.2">
      <c r="A111" s="29"/>
      <c r="B111" s="97"/>
      <c r="C111" s="24"/>
      <c r="D111" s="29"/>
      <c r="E111" s="29"/>
      <c r="F111" s="29"/>
    </row>
    <row r="112" spans="1:6" ht="34.5" customHeight="1" x14ac:dyDescent="0.2">
      <c r="A112" s="52" t="s">
        <v>1</v>
      </c>
      <c r="B112" s="98">
        <f>B38+B100+B110</f>
        <v>22457.100000000002</v>
      </c>
      <c r="C112" s="53"/>
      <c r="D112" s="53"/>
      <c r="E112" s="53"/>
      <c r="F112" s="28"/>
    </row>
    <row r="113" spans="1:6" x14ac:dyDescent="0.2">
      <c r="A113" s="29"/>
      <c r="B113" s="24"/>
      <c r="C113" s="29"/>
      <c r="D113" s="29"/>
      <c r="E113" s="29"/>
      <c r="F113" s="29"/>
    </row>
    <row r="114" spans="1:6" x14ac:dyDescent="0.2">
      <c r="A114" s="54" t="s">
        <v>8</v>
      </c>
      <c r="B114" s="27"/>
      <c r="C114" s="28"/>
      <c r="D114" s="28"/>
      <c r="E114" s="28"/>
      <c r="F114" s="29"/>
    </row>
    <row r="115" spans="1:6" ht="12.6" customHeight="1" x14ac:dyDescent="0.2">
      <c r="A115" s="25" t="s">
        <v>50</v>
      </c>
      <c r="B115" s="55"/>
      <c r="C115" s="55"/>
      <c r="D115" s="34"/>
      <c r="E115" s="34"/>
      <c r="F115" s="29"/>
    </row>
    <row r="116" spans="1:6" ht="12.95" customHeight="1" x14ac:dyDescent="0.2">
      <c r="A116" s="33" t="s">
        <v>156</v>
      </c>
      <c r="B116" s="29"/>
      <c r="C116" s="34"/>
      <c r="D116" s="29"/>
      <c r="E116" s="34"/>
      <c r="F116" s="29"/>
    </row>
    <row r="117" spans="1:6" x14ac:dyDescent="0.2">
      <c r="A117" s="33" t="s">
        <v>149</v>
      </c>
      <c r="B117" s="34"/>
      <c r="C117" s="34"/>
      <c r="D117" s="34"/>
      <c r="E117" s="56"/>
      <c r="F117" s="48"/>
    </row>
    <row r="118" spans="1:6" x14ac:dyDescent="0.2">
      <c r="A118" s="25" t="s">
        <v>157</v>
      </c>
      <c r="B118" s="27"/>
      <c r="C118" s="28"/>
      <c r="D118" s="28"/>
      <c r="E118" s="28"/>
      <c r="F118" s="29"/>
    </row>
    <row r="119" spans="1:6" ht="12.95" customHeight="1" x14ac:dyDescent="0.2">
      <c r="A119" s="33" t="s">
        <v>148</v>
      </c>
      <c r="B119" s="29"/>
      <c r="C119" s="34"/>
      <c r="D119" s="29"/>
      <c r="E119" s="34"/>
      <c r="F119" s="29"/>
    </row>
    <row r="120" spans="1:6" x14ac:dyDescent="0.2">
      <c r="A120" s="33" t="s">
        <v>153</v>
      </c>
      <c r="B120" s="34"/>
      <c r="C120" s="34"/>
      <c r="D120" s="34"/>
      <c r="E120" s="56"/>
      <c r="F120" s="48"/>
    </row>
    <row r="121" spans="1:6" x14ac:dyDescent="0.2">
      <c r="A121" s="38" t="s">
        <v>165</v>
      </c>
      <c r="B121" s="38"/>
      <c r="C121" s="38"/>
      <c r="D121" s="38"/>
      <c r="E121" s="56"/>
      <c r="F121" s="48"/>
    </row>
    <row r="122" spans="1:6" x14ac:dyDescent="0.2">
      <c r="A122" s="42"/>
      <c r="B122" s="29"/>
      <c r="C122" s="29"/>
      <c r="D122" s="29"/>
      <c r="E122" s="48"/>
      <c r="F122" s="48"/>
    </row>
    <row r="123" spans="1:6" hidden="1" x14ac:dyDescent="0.2">
      <c r="A123" s="42"/>
      <c r="B123" s="29"/>
      <c r="C123" s="29"/>
      <c r="D123" s="29"/>
      <c r="E123" s="48"/>
      <c r="F123" s="48"/>
    </row>
    <row r="124" spans="1:6" hidden="1" x14ac:dyDescent="0.2"/>
    <row r="125" spans="1:6" hidden="1" x14ac:dyDescent="0.2"/>
    <row r="126" spans="1:6" hidden="1" x14ac:dyDescent="0.2"/>
    <row r="127" spans="1:6" hidden="1" x14ac:dyDescent="0.2"/>
    <row r="128" spans="1:6" ht="12.75" hidden="1" customHeight="1" x14ac:dyDescent="0.2"/>
    <row r="129" spans="1:6" hidden="1" x14ac:dyDescent="0.2"/>
    <row r="130" spans="1:6" hidden="1" x14ac:dyDescent="0.2"/>
    <row r="131" spans="1:6" hidden="1" x14ac:dyDescent="0.2">
      <c r="A131" s="57"/>
      <c r="B131" s="48"/>
      <c r="C131" s="48"/>
      <c r="D131" s="48"/>
      <c r="E131" s="48"/>
      <c r="F131" s="48"/>
    </row>
    <row r="132" spans="1:6" hidden="1" x14ac:dyDescent="0.2">
      <c r="A132" s="57"/>
      <c r="B132" s="48"/>
      <c r="C132" s="48"/>
      <c r="D132" s="48"/>
      <c r="E132" s="48"/>
      <c r="F132" s="48"/>
    </row>
    <row r="133" spans="1:6" hidden="1" x14ac:dyDescent="0.2">
      <c r="A133" s="57"/>
      <c r="B133" s="48"/>
      <c r="C133" s="48"/>
      <c r="D133" s="48"/>
      <c r="E133" s="48"/>
      <c r="F133" s="48"/>
    </row>
    <row r="134" spans="1:6" hidden="1" x14ac:dyDescent="0.2">
      <c r="A134" s="57"/>
      <c r="B134" s="48"/>
      <c r="C134" s="48"/>
      <c r="D134" s="48"/>
      <c r="E134" s="48"/>
      <c r="F134" s="48"/>
    </row>
    <row r="135" spans="1:6" hidden="1" x14ac:dyDescent="0.2">
      <c r="A135" s="57"/>
      <c r="B135" s="48"/>
      <c r="C135" s="48"/>
      <c r="D135" s="48"/>
      <c r="E135" s="48"/>
      <c r="F135" s="48"/>
    </row>
    <row r="136" spans="1:6" hidden="1" x14ac:dyDescent="0.2"/>
    <row r="137" spans="1:6" hidden="1" x14ac:dyDescent="0.2"/>
    <row r="138" spans="1:6" hidden="1" x14ac:dyDescent="0.2"/>
    <row r="139" spans="1:6" hidden="1" x14ac:dyDescent="0.2"/>
    <row r="140" spans="1:6" hidden="1" x14ac:dyDescent="0.2"/>
    <row r="141" spans="1:6" hidden="1" x14ac:dyDescent="0.2"/>
    <row r="142" spans="1:6" hidden="1"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sheetData>
  <sheetProtection sheet="1" formatCells="0" formatRows="0" insertColumns="0" insertRows="0" deleteRows="0"/>
  <mergeCells count="15">
    <mergeCell ref="B7:E7"/>
    <mergeCell ref="B5:E5"/>
    <mergeCell ref="D110:E110"/>
    <mergeCell ref="A1:E1"/>
    <mergeCell ref="A40:E40"/>
    <mergeCell ref="A102:E102"/>
    <mergeCell ref="B2:E2"/>
    <mergeCell ref="B3:E3"/>
    <mergeCell ref="B4:E4"/>
    <mergeCell ref="A8:E8"/>
    <mergeCell ref="A9:E9"/>
    <mergeCell ref="B6:E6"/>
    <mergeCell ref="D38:E38"/>
    <mergeCell ref="D100:E100"/>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04:A109 A12:A37 A42 A43:A99">
      <formula1>$B$4</formula1>
      <formula2>$B$5</formula2>
    </dataValidation>
    <dataValidation allowBlank="1" showInputMessage="1" showErrorMessage="1" prompt="Insert additional rows as needed:_x000a_- 'right click' on a row number (left of screen)_x000a_- select 'Insert' (this will insert a row above it)" sqref="A103 A41 A11"/>
  </dataValidations>
  <pageMargins left="0.70866141732283472" right="0.70866141732283472" top="0.74803149606299213" bottom="0.74803149606299213" header="0.31496062992125984" footer="0.31496062992125984"/>
  <pageSetup paperSize="8" scale="67"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B104:B109 B12:B37 B42 B43:B99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80" zoomScaleNormal="80" workbookViewId="0">
      <selection activeCell="B17" sqref="B1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95" t="s">
        <v>6</v>
      </c>
      <c r="B1" s="195"/>
      <c r="C1" s="195"/>
      <c r="D1" s="195"/>
      <c r="E1" s="195"/>
      <c r="F1" s="40"/>
    </row>
    <row r="2" spans="1:6" ht="21" customHeight="1" x14ac:dyDescent="0.2">
      <c r="A2" s="4" t="s">
        <v>2</v>
      </c>
      <c r="B2" s="198" t="str">
        <f>'Summary and sign-off'!B2:F2</f>
        <v>Maritime New Zealand</v>
      </c>
      <c r="C2" s="198"/>
      <c r="D2" s="198"/>
      <c r="E2" s="198"/>
      <c r="F2" s="40"/>
    </row>
    <row r="3" spans="1:6" ht="21" customHeight="1" x14ac:dyDescent="0.2">
      <c r="A3" s="4" t="s">
        <v>3</v>
      </c>
      <c r="B3" s="198" t="str">
        <f>'Summary and sign-off'!B3:F3</f>
        <v>Keith Manch</v>
      </c>
      <c r="C3" s="198"/>
      <c r="D3" s="198"/>
      <c r="E3" s="198"/>
      <c r="F3" s="40"/>
    </row>
    <row r="4" spans="1:6" ht="21" customHeight="1" x14ac:dyDescent="0.2">
      <c r="A4" s="4" t="s">
        <v>77</v>
      </c>
      <c r="B4" s="198">
        <f>'Summary and sign-off'!B4:F4</f>
        <v>43282</v>
      </c>
      <c r="C4" s="198"/>
      <c r="D4" s="198"/>
      <c r="E4" s="198"/>
      <c r="F4" s="40"/>
    </row>
    <row r="5" spans="1:6" ht="21" customHeight="1" x14ac:dyDescent="0.2">
      <c r="A5" s="4" t="s">
        <v>78</v>
      </c>
      <c r="B5" s="198">
        <f>'Summary and sign-off'!B5:F5</f>
        <v>43646</v>
      </c>
      <c r="C5" s="198"/>
      <c r="D5" s="198"/>
      <c r="E5" s="198"/>
      <c r="F5" s="40"/>
    </row>
    <row r="6" spans="1:6" ht="21" customHeight="1" x14ac:dyDescent="0.2">
      <c r="A6" s="4" t="s">
        <v>29</v>
      </c>
      <c r="B6" s="193" t="s">
        <v>64</v>
      </c>
      <c r="C6" s="193"/>
      <c r="D6" s="193"/>
      <c r="E6" s="193"/>
      <c r="F6" s="40"/>
    </row>
    <row r="7" spans="1:6" ht="21" customHeight="1" x14ac:dyDescent="0.2">
      <c r="A7" s="4" t="s">
        <v>104</v>
      </c>
      <c r="B7" s="193" t="s">
        <v>116</v>
      </c>
      <c r="C7" s="193"/>
      <c r="D7" s="193"/>
      <c r="E7" s="193"/>
      <c r="F7" s="40"/>
    </row>
    <row r="8" spans="1:6" ht="35.25" customHeight="1" x14ac:dyDescent="0.25">
      <c r="A8" s="208" t="s">
        <v>158</v>
      </c>
      <c r="B8" s="208"/>
      <c r="C8" s="209"/>
      <c r="D8" s="209"/>
      <c r="E8" s="209"/>
      <c r="F8" s="44"/>
    </row>
    <row r="9" spans="1:6" ht="35.25" customHeight="1" x14ac:dyDescent="0.25">
      <c r="A9" s="206" t="s">
        <v>135</v>
      </c>
      <c r="B9" s="207"/>
      <c r="C9" s="207"/>
      <c r="D9" s="207"/>
      <c r="E9" s="207"/>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78">
        <v>43438</v>
      </c>
      <c r="B12" s="179">
        <v>291.5</v>
      </c>
      <c r="C12" s="177" t="s">
        <v>310</v>
      </c>
      <c r="D12" s="177" t="s">
        <v>309</v>
      </c>
      <c r="E12" s="161" t="s">
        <v>170</v>
      </c>
      <c r="F12" s="2"/>
    </row>
    <row r="13" spans="1:6" s="89" customFormat="1" x14ac:dyDescent="0.2">
      <c r="A13" s="159">
        <v>43637</v>
      </c>
      <c r="B13" s="163">
        <v>9</v>
      </c>
      <c r="C13" s="162" t="s">
        <v>258</v>
      </c>
      <c r="D13" s="165" t="s">
        <v>311</v>
      </c>
      <c r="E13" s="162" t="s">
        <v>170</v>
      </c>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300.5</v>
      </c>
      <c r="C25" s="123" t="str">
        <f>IF(SUBTOTAL(3,B11:B24)=SUBTOTAL(103,B11:B24),'Summary and sign-off'!$A$47,'Summary and sign-off'!$A$48)</f>
        <v>Check - there are no hidden rows with data</v>
      </c>
      <c r="D25" s="199" t="str">
        <f>IF('Summary and sign-off'!F57='Summary and sign-off'!F53,'Summary and sign-off'!A50,'Summary and sign-off'!A49)</f>
        <v>Check - each entry provides sufficient information</v>
      </c>
      <c r="E25" s="199"/>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2"/>
  <sheetViews>
    <sheetView topLeftCell="A10" zoomScale="80" zoomScaleNormal="80" workbookViewId="0">
      <selection activeCell="C63" sqref="C6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95" t="s">
        <v>6</v>
      </c>
      <c r="B1" s="195"/>
      <c r="C1" s="195"/>
      <c r="D1" s="195"/>
      <c r="E1" s="195"/>
      <c r="F1" s="26"/>
    </row>
    <row r="2" spans="1:6" ht="21" customHeight="1" x14ac:dyDescent="0.2">
      <c r="A2" s="4" t="s">
        <v>2</v>
      </c>
      <c r="B2" s="198" t="str">
        <f>'Summary and sign-off'!B2:F2</f>
        <v>Maritime New Zealand</v>
      </c>
      <c r="C2" s="198"/>
      <c r="D2" s="198"/>
      <c r="E2" s="198"/>
      <c r="F2" s="26"/>
    </row>
    <row r="3" spans="1:6" ht="21" customHeight="1" x14ac:dyDescent="0.2">
      <c r="A3" s="4" t="s">
        <v>3</v>
      </c>
      <c r="B3" s="198" t="str">
        <f>'Summary and sign-off'!B3:F3</f>
        <v>Keith Manch</v>
      </c>
      <c r="C3" s="198"/>
      <c r="D3" s="198"/>
      <c r="E3" s="198"/>
      <c r="F3" s="26"/>
    </row>
    <row r="4" spans="1:6" ht="21" customHeight="1" x14ac:dyDescent="0.2">
      <c r="A4" s="4" t="s">
        <v>77</v>
      </c>
      <c r="B4" s="198">
        <f>'Summary and sign-off'!B4:F4</f>
        <v>43282</v>
      </c>
      <c r="C4" s="198"/>
      <c r="D4" s="198"/>
      <c r="E4" s="198"/>
      <c r="F4" s="26"/>
    </row>
    <row r="5" spans="1:6" ht="21" customHeight="1" x14ac:dyDescent="0.2">
      <c r="A5" s="4" t="s">
        <v>78</v>
      </c>
      <c r="B5" s="198">
        <f>'Summary and sign-off'!B5:F5</f>
        <v>43646</v>
      </c>
      <c r="C5" s="198"/>
      <c r="D5" s="198"/>
      <c r="E5" s="198"/>
      <c r="F5" s="26"/>
    </row>
    <row r="6" spans="1:6" ht="21" customHeight="1" x14ac:dyDescent="0.2">
      <c r="A6" s="4" t="s">
        <v>29</v>
      </c>
      <c r="B6" s="193" t="s">
        <v>64</v>
      </c>
      <c r="C6" s="193"/>
      <c r="D6" s="193"/>
      <c r="E6" s="193"/>
      <c r="F6" s="36"/>
    </row>
    <row r="7" spans="1:6" ht="21" customHeight="1" x14ac:dyDescent="0.2">
      <c r="A7" s="4" t="s">
        <v>104</v>
      </c>
      <c r="B7" s="193" t="s">
        <v>116</v>
      </c>
      <c r="C7" s="193"/>
      <c r="D7" s="193"/>
      <c r="E7" s="193"/>
      <c r="F7" s="36"/>
    </row>
    <row r="8" spans="1:6" ht="35.25" customHeight="1" x14ac:dyDescent="0.2">
      <c r="A8" s="202" t="s">
        <v>0</v>
      </c>
      <c r="B8" s="202"/>
      <c r="C8" s="209"/>
      <c r="D8" s="209"/>
      <c r="E8" s="209"/>
      <c r="F8" s="26"/>
    </row>
    <row r="9" spans="1:6" ht="35.25" customHeight="1" x14ac:dyDescent="0.2">
      <c r="A9" s="210" t="s">
        <v>127</v>
      </c>
      <c r="B9" s="211"/>
      <c r="C9" s="211"/>
      <c r="D9" s="211"/>
      <c r="E9" s="211"/>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68">
        <v>43322</v>
      </c>
      <c r="B12" s="182">
        <v>799.25</v>
      </c>
      <c r="C12" s="183" t="s">
        <v>325</v>
      </c>
      <c r="D12" s="116" t="s">
        <v>270</v>
      </c>
      <c r="E12" s="117" t="s">
        <v>173</v>
      </c>
      <c r="F12" s="3"/>
    </row>
    <row r="13" spans="1:6" s="89" customFormat="1" ht="51" x14ac:dyDescent="0.2">
      <c r="A13" s="168">
        <v>43385</v>
      </c>
      <c r="B13" s="181">
        <v>215</v>
      </c>
      <c r="C13" s="116" t="s">
        <v>326</v>
      </c>
      <c r="D13" s="116" t="s">
        <v>270</v>
      </c>
      <c r="E13" s="116" t="s">
        <v>307</v>
      </c>
      <c r="F13" s="3"/>
    </row>
    <row r="14" spans="1:6" s="89" customFormat="1" x14ac:dyDescent="0.2">
      <c r="A14" s="168">
        <v>43312</v>
      </c>
      <c r="B14" s="181">
        <f>41.17+6.18</f>
        <v>47.35</v>
      </c>
      <c r="C14" s="116" t="s">
        <v>274</v>
      </c>
      <c r="D14" s="116" t="s">
        <v>271</v>
      </c>
      <c r="E14" s="116" t="s">
        <v>272</v>
      </c>
      <c r="F14" s="3"/>
    </row>
    <row r="15" spans="1:6" s="89" customFormat="1" x14ac:dyDescent="0.2">
      <c r="A15" s="168">
        <v>43343</v>
      </c>
      <c r="B15" s="181">
        <f>41.34+6.2</f>
        <v>47.540000000000006</v>
      </c>
      <c r="C15" s="116" t="s">
        <v>273</v>
      </c>
      <c r="D15" s="116" t="s">
        <v>271</v>
      </c>
      <c r="E15" s="116" t="s">
        <v>272</v>
      </c>
      <c r="F15" s="3"/>
    </row>
    <row r="16" spans="1:6" s="89" customFormat="1" x14ac:dyDescent="0.2">
      <c r="A16" s="168">
        <v>43350</v>
      </c>
      <c r="B16" s="181">
        <v>82.5</v>
      </c>
      <c r="C16" s="116" t="s">
        <v>308</v>
      </c>
      <c r="D16" s="116" t="s">
        <v>257</v>
      </c>
      <c r="E16" s="116" t="s">
        <v>194</v>
      </c>
      <c r="F16" s="3"/>
    </row>
    <row r="17" spans="1:6" s="89" customFormat="1" x14ac:dyDescent="0.2">
      <c r="A17" s="168">
        <v>43373</v>
      </c>
      <c r="B17" s="181">
        <f>41+6.15</f>
        <v>47.15</v>
      </c>
      <c r="C17" s="116" t="s">
        <v>276</v>
      </c>
      <c r="D17" s="116" t="s">
        <v>271</v>
      </c>
      <c r="E17" s="116" t="s">
        <v>272</v>
      </c>
      <c r="F17" s="3"/>
    </row>
    <row r="18" spans="1:6" s="89" customFormat="1" x14ac:dyDescent="0.2">
      <c r="A18" s="168">
        <v>43377</v>
      </c>
      <c r="B18" s="181">
        <v>4919</v>
      </c>
      <c r="C18" s="116" t="s">
        <v>255</v>
      </c>
      <c r="D18" s="116" t="s">
        <v>256</v>
      </c>
      <c r="E18" s="116" t="s">
        <v>238</v>
      </c>
      <c r="F18" s="3"/>
    </row>
    <row r="19" spans="1:6" s="89" customFormat="1" x14ac:dyDescent="0.2">
      <c r="A19" s="168">
        <v>43404</v>
      </c>
      <c r="B19" s="181">
        <v>192.9</v>
      </c>
      <c r="C19" s="116" t="s">
        <v>323</v>
      </c>
      <c r="D19" s="116" t="s">
        <v>226</v>
      </c>
      <c r="E19" s="116" t="s">
        <v>170</v>
      </c>
      <c r="F19" s="3"/>
    </row>
    <row r="20" spans="1:6" s="89" customFormat="1" x14ac:dyDescent="0.2">
      <c r="A20" s="168">
        <v>43404</v>
      </c>
      <c r="B20" s="181">
        <f>52.96+7.94</f>
        <v>60.9</v>
      </c>
      <c r="C20" s="116" t="s">
        <v>275</v>
      </c>
      <c r="D20" s="116" t="s">
        <v>271</v>
      </c>
      <c r="E20" s="116" t="s">
        <v>277</v>
      </c>
      <c r="F20" s="3"/>
    </row>
    <row r="21" spans="1:6" s="89" customFormat="1" x14ac:dyDescent="0.2">
      <c r="A21" s="168">
        <v>43434</v>
      </c>
      <c r="B21" s="181">
        <f>148.82+22.32</f>
        <v>171.14</v>
      </c>
      <c r="C21" s="116" t="s">
        <v>278</v>
      </c>
      <c r="D21" s="116" t="s">
        <v>271</v>
      </c>
      <c r="E21" s="116" t="s">
        <v>272</v>
      </c>
      <c r="F21" s="3"/>
    </row>
    <row r="22" spans="1:6" s="89" customFormat="1" x14ac:dyDescent="0.2">
      <c r="A22" s="168">
        <v>43465</v>
      </c>
      <c r="B22" s="181">
        <f>51.37+7.71</f>
        <v>59.08</v>
      </c>
      <c r="C22" s="116" t="s">
        <v>279</v>
      </c>
      <c r="D22" s="116" t="s">
        <v>271</v>
      </c>
      <c r="E22" s="116" t="s">
        <v>272</v>
      </c>
      <c r="F22" s="3"/>
    </row>
    <row r="23" spans="1:6" s="89" customFormat="1" x14ac:dyDescent="0.2">
      <c r="A23" s="168">
        <v>43496</v>
      </c>
      <c r="B23" s="181">
        <f>46+6.9</f>
        <v>52.9</v>
      </c>
      <c r="C23" s="116" t="s">
        <v>280</v>
      </c>
      <c r="D23" s="116" t="s">
        <v>271</v>
      </c>
      <c r="E23" s="116" t="s">
        <v>272</v>
      </c>
      <c r="F23" s="3"/>
    </row>
    <row r="24" spans="1:6" s="89" customFormat="1" x14ac:dyDescent="0.2">
      <c r="A24" s="168">
        <v>43524</v>
      </c>
      <c r="B24" s="181">
        <f>38.86+5.83</f>
        <v>44.69</v>
      </c>
      <c r="C24" s="116" t="s">
        <v>281</v>
      </c>
      <c r="D24" s="116" t="s">
        <v>271</v>
      </c>
      <c r="E24" s="116" t="s">
        <v>272</v>
      </c>
      <c r="F24" s="3"/>
    </row>
    <row r="25" spans="1:6" s="89" customFormat="1" x14ac:dyDescent="0.2">
      <c r="A25" s="168">
        <v>43555</v>
      </c>
      <c r="B25" s="181">
        <f>42.17+6.33</f>
        <v>48.5</v>
      </c>
      <c r="C25" s="116" t="s">
        <v>282</v>
      </c>
      <c r="D25" s="116" t="s">
        <v>271</v>
      </c>
      <c r="E25" s="116" t="s">
        <v>272</v>
      </c>
      <c r="F25" s="3"/>
    </row>
    <row r="26" spans="1:6" s="89" customFormat="1" x14ac:dyDescent="0.2">
      <c r="A26" s="168">
        <v>43556</v>
      </c>
      <c r="B26" s="181">
        <f>161.5+24.33</f>
        <v>185.82999999999998</v>
      </c>
      <c r="C26" s="116" t="s">
        <v>324</v>
      </c>
      <c r="D26" s="116" t="s">
        <v>226</v>
      </c>
      <c r="E26" s="116" t="s">
        <v>170</v>
      </c>
      <c r="F26" s="3"/>
    </row>
    <row r="27" spans="1:6" s="89" customFormat="1" x14ac:dyDescent="0.2">
      <c r="A27" s="168">
        <v>43585</v>
      </c>
      <c r="B27" s="181">
        <f>136.5+20.48</f>
        <v>156.97999999999999</v>
      </c>
      <c r="C27" s="116" t="s">
        <v>283</v>
      </c>
      <c r="D27" s="116" t="s">
        <v>271</v>
      </c>
      <c r="E27" s="116" t="s">
        <v>272</v>
      </c>
      <c r="F27" s="3"/>
    </row>
    <row r="28" spans="1:6" s="89" customFormat="1" x14ac:dyDescent="0.2">
      <c r="A28" s="168">
        <v>43616</v>
      </c>
      <c r="B28" s="111">
        <f>140.58+21.09</f>
        <v>161.67000000000002</v>
      </c>
      <c r="C28" s="116" t="s">
        <v>284</v>
      </c>
      <c r="D28" s="116" t="s">
        <v>271</v>
      </c>
      <c r="E28" s="116" t="s">
        <v>272</v>
      </c>
      <c r="F28" s="3"/>
    </row>
    <row r="29" spans="1:6" s="89" customFormat="1" x14ac:dyDescent="0.2">
      <c r="A29" s="168">
        <v>43646</v>
      </c>
      <c r="B29" s="111">
        <f>47+7.05</f>
        <v>54.05</v>
      </c>
      <c r="C29" s="116" t="s">
        <v>285</v>
      </c>
      <c r="D29" s="116" t="s">
        <v>271</v>
      </c>
      <c r="E29" s="116" t="s">
        <v>272</v>
      </c>
      <c r="F29" s="3"/>
    </row>
    <row r="30" spans="1:6" s="89" customFormat="1" x14ac:dyDescent="0.2">
      <c r="A30" s="114"/>
      <c r="B30" s="111"/>
      <c r="C30" s="116"/>
      <c r="D30" s="116"/>
      <c r="E30" s="116"/>
      <c r="F30" s="3"/>
    </row>
    <row r="31" spans="1:6" s="89" customFormat="1" x14ac:dyDescent="0.2">
      <c r="A31" s="110"/>
      <c r="B31" s="111"/>
      <c r="C31" s="116"/>
      <c r="D31" s="116"/>
      <c r="E31" s="117"/>
      <c r="F31" s="3"/>
    </row>
    <row r="32" spans="1:6" s="89" customFormat="1" hidden="1" x14ac:dyDescent="0.2">
      <c r="A32" s="110"/>
      <c r="B32" s="111"/>
      <c r="C32" s="116"/>
      <c r="D32" s="116"/>
      <c r="E32" s="117"/>
      <c r="F32" s="3"/>
    </row>
    <row r="33" spans="1:6" ht="34.5" customHeight="1" x14ac:dyDescent="0.2">
      <c r="A33" s="90" t="s">
        <v>136</v>
      </c>
      <c r="B33" s="102">
        <f>SUM(B11:B32)</f>
        <v>7346.4299999999985</v>
      </c>
      <c r="C33" s="123" t="str">
        <f>IF(SUBTOTAL(3,B11:B32)=SUBTOTAL(103,B11:B32),'Summary and sign-off'!$A$47,'Summary and sign-off'!$A$48)</f>
        <v>Check - there are no hidden rows with data</v>
      </c>
      <c r="D33" s="199" t="str">
        <f>IF('Summary and sign-off'!F58='Summary and sign-off'!F53,'Summary and sign-off'!A50,'Summary and sign-off'!A49)</f>
        <v>Check - each entry provides sufficient information</v>
      </c>
      <c r="E33" s="199"/>
      <c r="F33" s="39"/>
    </row>
    <row r="34" spans="1:6" ht="14.1" customHeight="1" x14ac:dyDescent="0.2">
      <c r="A34" s="40"/>
      <c r="B34" s="29"/>
      <c r="C34" s="22"/>
      <c r="D34" s="22"/>
      <c r="E34" s="22"/>
      <c r="F34" s="26"/>
    </row>
    <row r="35" spans="1:6" x14ac:dyDescent="0.2">
      <c r="A35" s="23" t="s">
        <v>7</v>
      </c>
      <c r="B35" s="22"/>
      <c r="C35" s="22"/>
      <c r="D35" s="22"/>
      <c r="E35" s="22"/>
      <c r="F35" s="26"/>
    </row>
    <row r="36" spans="1:6" ht="12.6" customHeight="1" x14ac:dyDescent="0.2">
      <c r="A36" s="25" t="s">
        <v>50</v>
      </c>
      <c r="B36" s="22"/>
      <c r="C36" s="22"/>
      <c r="D36" s="22"/>
      <c r="E36" s="22"/>
      <c r="F36" s="26"/>
    </row>
    <row r="37" spans="1:6" x14ac:dyDescent="0.2">
      <c r="A37" s="25" t="s">
        <v>157</v>
      </c>
      <c r="B37" s="27"/>
      <c r="C37" s="28"/>
      <c r="D37" s="28"/>
      <c r="E37" s="28"/>
      <c r="F37" s="29"/>
    </row>
    <row r="38" spans="1:6" x14ac:dyDescent="0.2">
      <c r="A38" s="33" t="s">
        <v>13</v>
      </c>
      <c r="B38" s="34"/>
      <c r="C38" s="29"/>
      <c r="D38" s="29"/>
      <c r="E38" s="29"/>
      <c r="F38" s="29"/>
    </row>
    <row r="39" spans="1:6" ht="12.75" customHeight="1" x14ac:dyDescent="0.2">
      <c r="A39" s="33" t="s">
        <v>166</v>
      </c>
      <c r="B39" s="41"/>
      <c r="C39" s="35"/>
      <c r="D39" s="35"/>
      <c r="E39" s="35"/>
      <c r="F39" s="35"/>
    </row>
    <row r="40" spans="1:6" x14ac:dyDescent="0.2">
      <c r="A40" s="40"/>
      <c r="B40" s="42"/>
      <c r="C40" s="22"/>
      <c r="D40" s="22"/>
      <c r="E40" s="22"/>
      <c r="F40" s="40"/>
    </row>
    <row r="41" spans="1:6" hidden="1" x14ac:dyDescent="0.2">
      <c r="A41" s="22"/>
      <c r="B41" s="22"/>
      <c r="C41" s="22"/>
      <c r="D41" s="22"/>
      <c r="E41" s="40"/>
    </row>
    <row r="42" spans="1:6" ht="12.75" hidden="1" customHeight="1" x14ac:dyDescent="0.2"/>
    <row r="43" spans="1:6" hidden="1" x14ac:dyDescent="0.2">
      <c r="A43" s="43"/>
      <c r="B43" s="43"/>
      <c r="C43" s="43"/>
      <c r="D43" s="43"/>
      <c r="E43" s="43"/>
      <c r="F43" s="26"/>
    </row>
    <row r="44" spans="1:6" hidden="1" x14ac:dyDescent="0.2">
      <c r="A44" s="43"/>
      <c r="B44" s="43"/>
      <c r="C44" s="43"/>
      <c r="D44" s="43"/>
      <c r="E44" s="43"/>
      <c r="F44" s="26"/>
    </row>
    <row r="45" spans="1:6" hidden="1" x14ac:dyDescent="0.2">
      <c r="A45" s="43"/>
      <c r="B45" s="43"/>
      <c r="C45" s="43"/>
      <c r="D45" s="43"/>
      <c r="E45" s="43"/>
      <c r="F45" s="26"/>
    </row>
    <row r="46" spans="1:6" hidden="1" x14ac:dyDescent="0.2">
      <c r="A46" s="43"/>
      <c r="B46" s="43"/>
      <c r="C46" s="43"/>
      <c r="D46" s="43"/>
      <c r="E46" s="43"/>
      <c r="F46" s="26"/>
    </row>
    <row r="47" spans="1:6" hidden="1" x14ac:dyDescent="0.2">
      <c r="A47" s="43"/>
      <c r="B47" s="43"/>
      <c r="C47" s="43"/>
      <c r="D47" s="43"/>
      <c r="E47" s="43"/>
      <c r="F47" s="26"/>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sheet="1" formatCells="0" insertRows="0" deleteRows="0"/>
  <mergeCells count="10">
    <mergeCell ref="D33:E33"/>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A32">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 B26 B13:B25 B27:B32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8"/>
  <sheetViews>
    <sheetView zoomScale="90" zoomScaleNormal="90" workbookViewId="0">
      <selection activeCell="A9" sqref="A9:F9"/>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95" t="s">
        <v>32</v>
      </c>
      <c r="B1" s="195"/>
      <c r="C1" s="195"/>
      <c r="D1" s="195"/>
      <c r="E1" s="195"/>
      <c r="F1" s="195"/>
    </row>
    <row r="2" spans="1:6" ht="21" customHeight="1" x14ac:dyDescent="0.2">
      <c r="A2" s="4" t="s">
        <v>2</v>
      </c>
      <c r="B2" s="198" t="str">
        <f>'Summary and sign-off'!B2:F2</f>
        <v>Maritime New Zealand</v>
      </c>
      <c r="C2" s="198"/>
      <c r="D2" s="198"/>
      <c r="E2" s="198"/>
      <c r="F2" s="198"/>
    </row>
    <row r="3" spans="1:6" ht="21" customHeight="1" x14ac:dyDescent="0.2">
      <c r="A3" s="4" t="s">
        <v>3</v>
      </c>
      <c r="B3" s="198" t="str">
        <f>'Summary and sign-off'!B3:F3</f>
        <v>Keith Manch</v>
      </c>
      <c r="C3" s="198"/>
      <c r="D3" s="198"/>
      <c r="E3" s="198"/>
      <c r="F3" s="198"/>
    </row>
    <row r="4" spans="1:6" ht="21" customHeight="1" x14ac:dyDescent="0.2">
      <c r="A4" s="4" t="s">
        <v>77</v>
      </c>
      <c r="B4" s="198">
        <f>'Summary and sign-off'!B4:F4</f>
        <v>43282</v>
      </c>
      <c r="C4" s="198"/>
      <c r="D4" s="198"/>
      <c r="E4" s="198"/>
      <c r="F4" s="198"/>
    </row>
    <row r="5" spans="1:6" ht="21" customHeight="1" x14ac:dyDescent="0.2">
      <c r="A5" s="4" t="s">
        <v>78</v>
      </c>
      <c r="B5" s="198">
        <f>'Summary and sign-off'!B5:F5</f>
        <v>43646</v>
      </c>
      <c r="C5" s="198"/>
      <c r="D5" s="198"/>
      <c r="E5" s="198"/>
      <c r="F5" s="198"/>
    </row>
    <row r="6" spans="1:6" ht="21" customHeight="1" x14ac:dyDescent="0.2">
      <c r="A6" s="4" t="s">
        <v>167</v>
      </c>
      <c r="B6" s="193" t="s">
        <v>64</v>
      </c>
      <c r="C6" s="193"/>
      <c r="D6" s="193"/>
      <c r="E6" s="193"/>
      <c r="F6" s="193"/>
    </row>
    <row r="7" spans="1:6" ht="21" customHeight="1" x14ac:dyDescent="0.2">
      <c r="A7" s="4" t="s">
        <v>104</v>
      </c>
      <c r="B7" s="193" t="s">
        <v>116</v>
      </c>
      <c r="C7" s="193"/>
      <c r="D7" s="193"/>
      <c r="E7" s="193"/>
      <c r="F7" s="193"/>
    </row>
    <row r="8" spans="1:6" ht="36" customHeight="1" x14ac:dyDescent="0.2">
      <c r="A8" s="202" t="s">
        <v>52</v>
      </c>
      <c r="B8" s="202"/>
      <c r="C8" s="202"/>
      <c r="D8" s="202"/>
      <c r="E8" s="202"/>
      <c r="F8" s="202"/>
    </row>
    <row r="9" spans="1:6" ht="36" customHeight="1" x14ac:dyDescent="0.2">
      <c r="A9" s="210" t="s">
        <v>134</v>
      </c>
      <c r="B9" s="211"/>
      <c r="C9" s="211"/>
      <c r="D9" s="211"/>
      <c r="E9" s="211"/>
      <c r="F9" s="211"/>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43636</v>
      </c>
      <c r="B12" s="116" t="s">
        <v>286</v>
      </c>
      <c r="C12" s="122" t="s">
        <v>34</v>
      </c>
      <c r="D12" s="116" t="s">
        <v>287</v>
      </c>
      <c r="E12" s="118">
        <v>70</v>
      </c>
      <c r="F12" s="117" t="s">
        <v>259</v>
      </c>
    </row>
    <row r="13" spans="1:6" s="89" customFormat="1" ht="25.5" x14ac:dyDescent="0.2">
      <c r="A13" s="114">
        <v>43636</v>
      </c>
      <c r="B13" s="116" t="s">
        <v>288</v>
      </c>
      <c r="C13" s="122" t="s">
        <v>34</v>
      </c>
      <c r="D13" s="116" t="s">
        <v>289</v>
      </c>
      <c r="E13" s="118" t="s">
        <v>39</v>
      </c>
      <c r="F13" s="117" t="s">
        <v>290</v>
      </c>
    </row>
    <row r="14" spans="1:6" s="89" customFormat="1" ht="25.5" x14ac:dyDescent="0.2">
      <c r="A14" s="114">
        <v>43600</v>
      </c>
      <c r="B14" s="116" t="s">
        <v>291</v>
      </c>
      <c r="C14" s="122" t="s">
        <v>34</v>
      </c>
      <c r="D14" s="116" t="s">
        <v>260</v>
      </c>
      <c r="E14" s="118">
        <v>250</v>
      </c>
      <c r="F14" s="117" t="s">
        <v>34</v>
      </c>
    </row>
    <row r="15" spans="1:6" s="89" customFormat="1" ht="38.25" x14ac:dyDescent="0.2">
      <c r="A15" s="114">
        <v>43581</v>
      </c>
      <c r="B15" s="116" t="s">
        <v>292</v>
      </c>
      <c r="C15" s="122" t="s">
        <v>34</v>
      </c>
      <c r="D15" s="116" t="s">
        <v>261</v>
      </c>
      <c r="E15" s="118" t="s">
        <v>41</v>
      </c>
      <c r="F15" s="117" t="s">
        <v>34</v>
      </c>
    </row>
    <row r="16" spans="1:6" s="89" customFormat="1" ht="25.5" x14ac:dyDescent="0.2">
      <c r="A16" s="114">
        <v>43573</v>
      </c>
      <c r="B16" s="116" t="s">
        <v>288</v>
      </c>
      <c r="C16" s="122" t="s">
        <v>34</v>
      </c>
      <c r="D16" s="116" t="s">
        <v>289</v>
      </c>
      <c r="E16" s="118" t="s">
        <v>39</v>
      </c>
      <c r="F16" s="117" t="s">
        <v>259</v>
      </c>
    </row>
    <row r="17" spans="1:7" s="89" customFormat="1" ht="25.5" x14ac:dyDescent="0.2">
      <c r="A17" s="114">
        <v>43543</v>
      </c>
      <c r="B17" s="116" t="s">
        <v>293</v>
      </c>
      <c r="C17" s="122" t="s">
        <v>36</v>
      </c>
      <c r="D17" s="116" t="s">
        <v>262</v>
      </c>
      <c r="E17" s="118" t="s">
        <v>39</v>
      </c>
      <c r="F17" s="117" t="s">
        <v>321</v>
      </c>
    </row>
    <row r="18" spans="1:7" s="89" customFormat="1" x14ac:dyDescent="0.2">
      <c r="A18" s="114">
        <v>43571</v>
      </c>
      <c r="B18" s="116" t="s">
        <v>294</v>
      </c>
      <c r="C18" s="122" t="s">
        <v>36</v>
      </c>
      <c r="D18" s="116" t="s">
        <v>295</v>
      </c>
      <c r="E18" s="118">
        <v>175</v>
      </c>
      <c r="F18" s="117" t="s">
        <v>296</v>
      </c>
    </row>
    <row r="19" spans="1:7" s="89" customFormat="1" ht="25.5" x14ac:dyDescent="0.2">
      <c r="A19" s="114">
        <v>43452</v>
      </c>
      <c r="B19" s="116" t="s">
        <v>263</v>
      </c>
      <c r="C19" s="122" t="s">
        <v>36</v>
      </c>
      <c r="D19" s="116" t="s">
        <v>264</v>
      </c>
      <c r="E19" s="118">
        <v>50</v>
      </c>
      <c r="F19" s="117" t="s">
        <v>297</v>
      </c>
    </row>
    <row r="20" spans="1:7" s="89" customFormat="1" x14ac:dyDescent="0.2">
      <c r="A20" s="114">
        <v>43374</v>
      </c>
      <c r="B20" s="116" t="s">
        <v>298</v>
      </c>
      <c r="C20" s="122" t="s">
        <v>36</v>
      </c>
      <c r="D20" s="116" t="s">
        <v>265</v>
      </c>
      <c r="E20" s="118" t="s">
        <v>41</v>
      </c>
      <c r="F20" s="117" t="s">
        <v>299</v>
      </c>
    </row>
    <row r="21" spans="1:7" s="89" customFormat="1" x14ac:dyDescent="0.2">
      <c r="A21" s="114">
        <v>43405</v>
      </c>
      <c r="B21" s="116" t="s">
        <v>300</v>
      </c>
      <c r="C21" s="122" t="s">
        <v>36</v>
      </c>
      <c r="D21" s="116" t="s">
        <v>266</v>
      </c>
      <c r="E21" s="118" t="s">
        <v>39</v>
      </c>
      <c r="F21" s="117" t="s">
        <v>299</v>
      </c>
    </row>
    <row r="22" spans="1:7" s="89" customFormat="1" ht="25.5" x14ac:dyDescent="0.2">
      <c r="A22" s="114">
        <v>43399</v>
      </c>
      <c r="B22" s="116" t="s">
        <v>301</v>
      </c>
      <c r="C22" s="122" t="s">
        <v>34</v>
      </c>
      <c r="D22" s="116" t="s">
        <v>267</v>
      </c>
      <c r="E22" s="118" t="s">
        <v>39</v>
      </c>
      <c r="F22" s="117" t="s">
        <v>259</v>
      </c>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11</v>
      </c>
      <c r="D25" s="131" t="str">
        <f>IF(SUBTOTAL(3,C11:C24)=SUBTOTAL(103,C11:C24),'Summary and sign-off'!$A$47,'Summary and sign-off'!$A$48)</f>
        <v>Check - there are no hidden rows with data</v>
      </c>
      <c r="E25" s="212" t="str">
        <f>IF('Summary and sign-off'!F59='Summary and sign-off'!F53,'Summary and sign-off'!A51,'Summary and sign-off'!A49)</f>
        <v>Check - each entry provides sufficient information</v>
      </c>
      <c r="F25" s="212"/>
      <c r="G25" s="89"/>
    </row>
    <row r="26" spans="1:7" ht="25.5" customHeight="1" x14ac:dyDescent="0.25">
      <c r="A26" s="94"/>
      <c r="B26" s="95" t="s">
        <v>36</v>
      </c>
      <c r="C26" s="96">
        <f>COUNTIF(C11:C24,'Summary and sign-off'!A44)</f>
        <v>5</v>
      </c>
      <c r="D26" s="19"/>
      <c r="E26" s="20"/>
      <c r="F26" s="21"/>
    </row>
    <row r="27" spans="1:7" ht="25.5" customHeight="1" x14ac:dyDescent="0.25">
      <c r="A27" s="94"/>
      <c r="B27" s="95" t="s">
        <v>34</v>
      </c>
      <c r="C27" s="96">
        <f>COUNTIF(C11:C24,'Summary and sign-off'!A45)</f>
        <v>6</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sheetData>
  <sheetProtection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Briar Gill-Michaels</cp:lastModifiedBy>
  <cp:lastPrinted>2019-07-28T21:49:55Z</cp:lastPrinted>
  <dcterms:created xsi:type="dcterms:W3CDTF">2010-10-17T20:59:02Z</dcterms:created>
  <dcterms:modified xsi:type="dcterms:W3CDTF">2019-07-28T22:03:44Z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