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X:\03-Corporate Services\01 Accountability\06 Chief Executive Expenses\"/>
    </mc:Choice>
  </mc:AlternateContent>
  <xr:revisionPtr revIDLastSave="0" documentId="13_ncr:1_{AEB2D375-68F7-4DF5-8FC8-1E58C17EBED1}" xr6:coauthVersionLast="45" xr6:coauthVersionMax="45" xr10:uidLastSave="{00000000-0000-0000-0000-000000000000}"/>
  <bookViews>
    <workbookView xWindow="1050" yWindow="-120" windowWidth="37470" windowHeight="21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5" i="1" l="1"/>
  <c r="B114" i="1"/>
  <c r="B113" i="1"/>
  <c r="B112" i="1"/>
  <c r="B111" i="1"/>
  <c r="B110" i="1"/>
  <c r="B108" i="1"/>
  <c r="B107" i="1"/>
  <c r="B106" i="1"/>
  <c r="B105" i="1"/>
  <c r="B104" i="1"/>
  <c r="B103" i="1"/>
  <c r="B102" i="1"/>
  <c r="B101" i="1"/>
  <c r="B100" i="1"/>
  <c r="B99" i="1"/>
  <c r="B98" i="1"/>
  <c r="B97" i="1"/>
  <c r="B96" i="1"/>
  <c r="B95" i="1"/>
  <c r="B94" i="1"/>
  <c r="B93" i="1"/>
  <c r="B91" i="1"/>
  <c r="B90" i="1"/>
  <c r="B89" i="1"/>
  <c r="B87" i="1"/>
  <c r="B86" i="1"/>
  <c r="B85" i="1"/>
  <c r="B84" i="1"/>
  <c r="B83" i="1"/>
  <c r="B82" i="1"/>
  <c r="B81" i="1"/>
  <c r="B79" i="1"/>
  <c r="B78" i="1"/>
  <c r="B77" i="1"/>
  <c r="B76" i="1"/>
  <c r="B75" i="1"/>
  <c r="B64" i="1"/>
  <c r="B57" i="1"/>
  <c r="B58" i="1" s="1"/>
  <c r="B56" i="1"/>
  <c r="B55" i="1"/>
  <c r="B52" i="1"/>
  <c r="B50" i="1"/>
  <c r="B49" i="1"/>
  <c r="B47" i="1"/>
  <c r="B48" i="1" s="1"/>
  <c r="B43" i="1"/>
  <c r="B33" i="1"/>
  <c r="B30" i="1"/>
  <c r="B27" i="1"/>
  <c r="B21" i="1"/>
  <c r="B15" i="1"/>
  <c r="D25" i="4" l="1"/>
  <c r="C25" i="3"/>
  <c r="C25" i="2"/>
  <c r="C69" i="1"/>
  <c r="C119" i="1"/>
  <c r="C3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119" i="1" s="1"/>
  <c r="F56" i="13"/>
  <c r="D69" i="1" s="1"/>
  <c r="F55" i="13"/>
  <c r="D37" i="1" s="1"/>
  <c r="C13" i="13"/>
  <c r="C12" i="13"/>
  <c r="C11" i="13"/>
  <c r="C16" i="13" l="1"/>
  <c r="C17" i="13"/>
  <c r="B5" i="4" l="1"/>
  <c r="B4" i="4"/>
  <c r="B5" i="3"/>
  <c r="B4" i="3"/>
  <c r="B5" i="2"/>
  <c r="B4" i="2"/>
  <c r="B5" i="1"/>
  <c r="B4" i="1"/>
  <c r="C15" i="13" l="1"/>
  <c r="F12" i="13" l="1"/>
  <c r="C25" i="4"/>
  <c r="F11" i="13" s="1"/>
  <c r="F13" i="13" l="1"/>
  <c r="B119" i="1"/>
  <c r="B17" i="13" s="1"/>
  <c r="B69" i="1"/>
  <c r="B16" i="13" s="1"/>
  <c r="B37" i="1"/>
  <c r="B15" i="13" s="1"/>
  <c r="B25" i="3" l="1"/>
  <c r="B13" i="13" s="1"/>
  <c r="B25" i="2"/>
  <c r="B12" i="13" s="1"/>
  <c r="B11" i="13" l="1"/>
  <c r="B1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<sst xmlns="http://schemas.openxmlformats.org/spreadsheetml/2006/main" count="437" uniqueCount="230">
  <si>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</si>
  <si>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</si>
  <si>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</si>
  <si>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</si>
  <si>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</si>
  <si>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</si>
  <si>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</si>
  <si>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</si>
  <si>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</si>
  <si>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</si>
  <si>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</si>
  <si>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</si>
  <si>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</si>
  <si>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</si>
  <si>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</si>
  <si>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</si>
  <si>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</si>
  <si>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</si>
  <si>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</si>
  <si>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</si>
  <si>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</si>
  <si>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</si>
  <si>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</si>
  <si>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</si>
  <si>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</si>
  <si>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</si>
  <si>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</si>
  <si>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</si>
  <si>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</si>
  <si>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</si>
  <si>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</si>
  <si>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</si>
  <si>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</si>
  <si>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</si>
  <si>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</si>
  <si>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</si>
  <si>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</si>
  <si>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</si>
  <si>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</si>
  <si>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</si>
  <si>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</si>
  <si>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</si>
  <si>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</si>
  <si>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</si>
  <si>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</si>
  <si>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</si>
  <si>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</si>
  <si>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</si>
  <si>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</si>
  <si>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</si>
  <si>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</si>
  <si>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</si>
  <si>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</si>
  <si>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</si>
  <si>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</si>
  <si>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</si>
  <si>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</si>
  <si>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</si>
  <si>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</si>
  <si>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</si>
  <si>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</si>
  <si>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</si>
  <si>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</si>
  <si>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</si>
  <si>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</si>
  <si>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</si>
  <si>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</si>
  <si>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</si>
  <si>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</si>
  <si>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</si>
  <si>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</si>
  <si>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</si>
  <si>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</si>
  <si>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</si>
  <si>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</si>
  <si>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</si>
  <si>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</si>
  <si>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</si>
  <si>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</si>
  <si>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</si>
  <si>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</si>
  <si>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</si>
  <si>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</si>
  <si>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</si>
  <si>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</si>
  <si>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</si>
  <si>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</si>
  <si>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</si>
  <si>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</si>
  <si>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</si>
  <si>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</si>
  <si>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</si>
  <si>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</si>
  <si>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</si>
  <si>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</si>
  <si>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</si>
  <si>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</si>
  <si>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</si>
  <si>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</si>
  <si>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</si>
  <si>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</si>
  <si>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</si>
  <si>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</si>
  <si>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</si>
  <si>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</si>
  <si>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</si>
  <si>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</si>
  <si>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</si>
  <si>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</si>
  <si>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</si>
  <si>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</si>
  <si>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</si>
  <si>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</si>
  <si>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</si>
  <si>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</si>
  <si>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</si>
  <si>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</si>
  <si>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</si>
  <si>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</si>
  <si>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</si>
  <si>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</si>
  <si>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</si>
  <si>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</si>
  <si>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</si>
  <si>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</si>
  <si>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</si>
  <si>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</si>
  <si>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</si>
  <si>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</si>
  <si>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</si>
  <si>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</si>
  <si>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</si>
  <si>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</si>
  <si>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</si>
  <si>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</si>
  <si>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</si>
  <si>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</si>
  <si>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</si>
  <si>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</si>
  <si>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</si>
  <si>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</si>
  <si>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</si>
  <si>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</si>
  <si>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</si>
  <si>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</si>
  <si>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</si>
  <si>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</si>
  <si>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</si>
  <si>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</si>
  <si>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</si>
  <si>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</si>
  <si>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</si>
  <si>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</si>
  <si>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</si>
  <si>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</si>
  <si>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</si>
  <si>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</si>
  <si>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</si>
  <si>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</si>
  <si>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</si>
  <si>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</si>
  <si>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</si>
  <si>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</si>
  <si>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</si>
  <si>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</si>
  <si>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</si>
  <si>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</si>
  <si>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</si>
  <si>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</si>
  <si>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Electoral Commission</t>
  </si>
  <si>
    <t>Alicia Wright</t>
  </si>
  <si>
    <t>This disclosure has been approved by the Board of the Electoral Commission</t>
  </si>
  <si>
    <t>Four Countries conference - UK</t>
  </si>
  <si>
    <t xml:space="preserve">Taxi </t>
  </si>
  <si>
    <t xml:space="preserve">International flight from NZ to UK </t>
  </si>
  <si>
    <t>Taxi to conference venue</t>
  </si>
  <si>
    <t xml:space="preserve">Dinner (6 people) in UK </t>
  </si>
  <si>
    <t>Taxi back to hotel in UK</t>
  </si>
  <si>
    <t>Electoral Commissions of Australia and NZ (ECANZ) Conference</t>
  </si>
  <si>
    <t xml:space="preserve">Flight to Sydney </t>
  </si>
  <si>
    <t>Taxi from airport to hotel  in Sydney</t>
  </si>
  <si>
    <t>Hotel accommodation (4 nights) in Sydney</t>
  </si>
  <si>
    <t>Flight from Sydney to Melbourne for workshop and flight back to Sydney</t>
  </si>
  <si>
    <t>Coffee at Hotel</t>
  </si>
  <si>
    <t>ECANZ meeting and workshop</t>
  </si>
  <si>
    <t>Food in Australia -</t>
  </si>
  <si>
    <t>Taxi f</t>
  </si>
  <si>
    <t xml:space="preserve">Hotel accommodation </t>
  </si>
  <si>
    <t>ECANZ Conference - cancelled - Credit with AirNZ</t>
  </si>
  <si>
    <t>Flight to Melbourne  - ECANZ conference and workshop</t>
  </si>
  <si>
    <t>Taxi</t>
  </si>
  <si>
    <t>Flight</t>
  </si>
  <si>
    <t>Catering</t>
  </si>
  <si>
    <t>Accommodation</t>
  </si>
  <si>
    <t xml:space="preserve">Flight to Auckland </t>
  </si>
  <si>
    <t xml:space="preserve">Airport to Auckland Regional office </t>
  </si>
  <si>
    <t xml:space="preserve">Auckland Regional office to Auckland CBD - Auckland </t>
  </si>
  <si>
    <t>Regional Staff meetings - Auckland, Rotorua, Christchurch</t>
  </si>
  <si>
    <t xml:space="preserve">Flight to Christchurch </t>
  </si>
  <si>
    <t xml:space="preserve">Flight to Rotorua </t>
  </si>
  <si>
    <t xml:space="preserve">Food while travel to Rotorua </t>
  </si>
  <si>
    <t>Taxi from airport to hotel in Rotorua</t>
  </si>
  <si>
    <t>Flight to Auckland Regional staff meeting</t>
  </si>
  <si>
    <t>Taxi from airport to meeting venue in Auckland</t>
  </si>
  <si>
    <t>Representation Commission hearings</t>
  </si>
  <si>
    <t>Flight to Auckland</t>
  </si>
  <si>
    <t xml:space="preserve">Flight to Dunedin </t>
  </si>
  <si>
    <t>Flight from Dunedin to Auckland</t>
  </si>
  <si>
    <t>Flight from Auckland to Wellington back</t>
  </si>
  <si>
    <t xml:space="preserve">Stay in Christchurch </t>
  </si>
  <si>
    <t xml:space="preserve">Stay in Auckland </t>
  </si>
  <si>
    <t xml:space="preserve">Taxi from hotel to Christchurch airport </t>
  </si>
  <si>
    <t>Taxi between hotel and Dunedin airport</t>
  </si>
  <si>
    <t xml:space="preserve">Taxi between hotel and Auckland airport </t>
  </si>
  <si>
    <t xml:space="preserve">Parking at airport - flight to Auckland </t>
  </si>
  <si>
    <t>External meeting</t>
  </si>
  <si>
    <t>Parking at airport - flight back from UK after Four Countries Conference</t>
  </si>
  <si>
    <t>Airport parking - Regional Hui</t>
  </si>
  <si>
    <t>External Forum</t>
  </si>
  <si>
    <t>Westen Australia Electoral Commissioner Visit for GE workshop</t>
  </si>
  <si>
    <t>Taxi to airport - ECANZ conference in Sydney</t>
  </si>
  <si>
    <t>Parking at Westpac stadium - Vote Issuing simulation</t>
  </si>
  <si>
    <t>Taxi to airport - ECANZ meeting in Australia</t>
  </si>
  <si>
    <t>Parking at airport to Dunedin for Rep Comm hearing</t>
  </si>
  <si>
    <t>Parking at airport to Auckland for Rep Comm hearing</t>
  </si>
  <si>
    <t>Parking</t>
  </si>
  <si>
    <t>Meeting</t>
  </si>
  <si>
    <t>Wellington</t>
  </si>
  <si>
    <t>Flower to regional offices</t>
  </si>
  <si>
    <t>florist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</si>
</sst>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top/>
      <bottom/>
      <diagonal/>
    </border>
    <border>
      <left/>
      <right style="medium">
        <color auto="1"/>
      </right>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4" fillId="11" borderId="0" xfId="0" applyFont="1" applyFill="1" applyAlignment="1" applyProtection="1">
      <alignment vertical="top" wrapText="1"/>
      <protection locked="0"/>
    </xf>
    <xf numFmtId="15" fontId="0" fillId="11" borderId="11" xfId="0" applyNumberFormat="1" applyFill="1" applyBorder="1" applyAlignment="1" applyProtection="1">
      <alignment horizontal="center" vertical="center" wrapText="1"/>
      <protection locked="0"/>
    </xf>
    <xf numFmtId="166" fontId="0" fillId="11" borderId="0" xfId="0" applyNumberFormat="1" applyFill="1" applyAlignment="1" applyProtection="1">
      <alignment horizontal="center" vertical="center" wrapText="1"/>
      <protection locked="0"/>
    </xf>
    <xf numFmtId="0" fontId="0" fillId="11" borderId="0" xfId="0" applyFill="1" applyAlignment="1" applyProtection="1">
      <alignment vertical="top" wrapText="1"/>
      <protection locked="0"/>
    </xf>
    <xf numFmtId="0" fontId="0" fillId="11" borderId="12" xfId="0" applyFill="1" applyBorder="1" applyAlignment="1" applyProtection="1">
      <alignment horizontal="center" vertical="center"/>
      <protection locked="0"/>
    </xf>
    <xf numFmtId="0" fontId="0" fillId="11" borderId="0" xfId="0" applyFill="1" applyAlignment="1" applyProtection="1">
      <alignment wrapText="1"/>
      <protection locked="0"/>
    </xf>
    <xf numFmtId="0" fontId="4" fillId="11" borderId="0" xfId="0" applyFont="1" applyFill="1" applyAlignment="1" applyProtection="1">
      <alignment wrapText="1"/>
      <protection locked="0"/>
    </xf>
    <xf numFmtId="15" fontId="0" fillId="11" borderId="11" xfId="0" applyNumberFormat="1" applyFill="1" applyBorder="1" applyAlignment="1" applyProtection="1">
      <alignment horizontal="center" wrapText="1"/>
      <protection locked="0"/>
    </xf>
    <xf numFmtId="166" fontId="0" fillId="11" borderId="0" xfId="0" applyNumberFormat="1" applyFill="1" applyAlignment="1" applyProtection="1">
      <alignment horizontal="center" wrapText="1"/>
      <protection locked="0"/>
    </xf>
    <xf numFmtId="0" fontId="6" fillId="11" borderId="0" xfId="0" applyFont="1" applyFill="1" applyAlignment="1" applyProtection="1">
      <alignment horizontal="center" vertical="center" wrapText="1"/>
      <protection locked="0"/>
    </xf>
    <xf numFmtId="0" fontId="6" fillId="11" borderId="0" xfId="0" applyFont="1" applyFill="1" applyAlignment="1" applyProtection="1">
      <alignment vertical="center" wrapText="1"/>
      <protection locked="0"/>
    </xf>
    <xf numFmtId="0" fontId="37" fillId="11" borderId="0" xfId="0" applyFont="1" applyFill="1" applyAlignment="1" applyProtection="1">
      <alignment vertical="center" wrapText="1"/>
      <protection locked="0"/>
    </xf>
    <xf numFmtId="0" fontId="0" fillId="11" borderId="0" xfId="0" applyFill="1" applyAlignment="1" applyProtection="1">
      <alignment horizontal="center"/>
      <protection locked="0"/>
    </xf>
    <xf numFmtId="0" fontId="0" fillId="11" borderId="0" xfId="0" applyFill="1" applyAlignment="1" applyProtection="1">
      <alignment vertical="center" wrapText="1"/>
      <protection locked="0"/>
    </xf>
    <xf numFmtId="0" fontId="0" fillId="11" borderId="0" xfId="0" applyFill="1" applyAlignment="1" applyProtection="1">
      <alignment horizontal="center" vertical="center" wrapText="1"/>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170</v>
      </c>
      <c r="C3" s="173"/>
      <c r="D3" s="173"/>
      <c r="E3" s="173"/>
      <c r="F3" s="173"/>
      <c r="G3" s="46"/>
      <c r="H3" s="46"/>
      <c r="I3" s="46"/>
      <c r="J3" s="46"/>
      <c r="K3" s="46"/>
    </row>
    <row r="4" spans="1:11" ht="21" customHeight="1" x14ac:dyDescent="0.2">
      <c r="A4" s="4" t="s">
        <v>54</v>
      </c>
      <c r="B4" s="174">
        <v>43647</v>
      </c>
      <c r="C4" s="174"/>
      <c r="D4" s="174"/>
      <c r="E4" s="174"/>
      <c r="F4" s="174"/>
      <c r="G4" s="46"/>
      <c r="H4" s="46"/>
      <c r="I4" s="46"/>
      <c r="J4" s="46"/>
      <c r="K4" s="46"/>
    </row>
    <row r="5" spans="1:11" ht="21" customHeight="1" x14ac:dyDescent="0.2">
      <c r="A5" s="4" t="s">
        <v>55</v>
      </c>
      <c r="B5" s="174">
        <v>44012</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171</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21928.560869565215</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expenses'!B25</f>
        <v>139.13</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Travel!B37</f>
        <v>16573.989999999998</v>
      </c>
      <c r="C15" s="104" t="str">
        <f>C11</f>
        <v>Figures exclude GST</v>
      </c>
      <c r="D15" s="8"/>
      <c r="E15" s="8"/>
      <c r="F15" s="58"/>
      <c r="G15" s="46"/>
      <c r="H15" s="46"/>
      <c r="I15" s="46"/>
      <c r="J15" s="46"/>
      <c r="K15" s="46"/>
    </row>
    <row r="16" spans="1:11" ht="27.75" customHeight="1" x14ac:dyDescent="0.2">
      <c r="A16" s="11" t="s">
        <v>71</v>
      </c>
      <c r="B16" s="96">
        <f>Travel!B69</f>
        <v>4319.2921739130434</v>
      </c>
      <c r="C16" s="104" t="str">
        <f>C11</f>
        <v>Figures exclude GST</v>
      </c>
      <c r="D16" s="59"/>
      <c r="E16" s="8"/>
      <c r="F16" s="60"/>
      <c r="G16" s="46"/>
      <c r="H16" s="46"/>
      <c r="I16" s="46"/>
      <c r="J16" s="46"/>
      <c r="K16" s="46"/>
    </row>
    <row r="17" spans="1:11" ht="27.75" customHeight="1" x14ac:dyDescent="0.2">
      <c r="A17" s="11" t="s">
        <v>72</v>
      </c>
      <c r="B17" s="96">
        <f>Travel!B119</f>
        <v>1035.2786956521741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COUNT(Travel!B12:B36)</f>
        <v>17</v>
      </c>
      <c r="C55" s="111"/>
      <c r="D55" s="111">
        <f>COUNTIF(Travel!D12:D36,"*")</f>
        <v>17</v>
      </c>
      <c r="E55" s="112"/>
      <c r="F55" s="112" t="b">
        <f>MIN(B55,D55)=MAX(B55,D55)</f>
        <v>1</v>
      </c>
      <c r="G55" s="46"/>
      <c r="H55" s="46"/>
      <c r="I55" s="46"/>
      <c r="J55" s="46"/>
      <c r="K55" s="46"/>
    </row>
    <row r="56" spans="1:11" hidden="1" x14ac:dyDescent="0.2">
      <c r="A56" s="121" t="s">
        <v>105</v>
      </c>
      <c r="B56" s="111">
        <f>COUNT(Travel!B41:B68)</f>
        <v>20</v>
      </c>
      <c r="C56" s="111"/>
      <c r="D56" s="111">
        <f>COUNTIF(Travel!D41:D68,"*")</f>
        <v>20</v>
      </c>
      <c r="E56" s="112"/>
      <c r="F56" s="112" t="b">
        <f>MIN(B56,D56)=MAX(B56,D56)</f>
        <v>1</v>
      </c>
    </row>
    <row r="57" spans="1:11" hidden="1" x14ac:dyDescent="0.2">
      <c r="A57" s="122"/>
      <c r="B57" s="111">
        <f>COUNT(Travel!B73:B118)</f>
        <v>41</v>
      </c>
      <c r="C57" s="111"/>
      <c r="D57" s="111">
        <f>COUNTIF(Travel!D73:D118,"*")</f>
        <v>41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1</v>
      </c>
      <c r="C59" s="112"/>
      <c r="D59" s="112">
        <f>COUNTIF('All other expenses'!D11:D24,"*")</f>
        <v>1</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4"/>
  <sheetViews>
    <sheetView topLeftCell="A69" zoomScaleNormal="100" workbookViewId="0">
      <selection activeCell="B69" sqref="B6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Electoral Commission</v>
      </c>
      <c r="C2" s="175"/>
      <c r="D2" s="175"/>
      <c r="E2" s="175"/>
      <c r="F2" s="46"/>
    </row>
    <row r="3" spans="1:6" ht="21" customHeight="1" x14ac:dyDescent="0.2">
      <c r="A3" s="4" t="s">
        <v>110</v>
      </c>
      <c r="B3" s="175" t="str">
        <f>'Summary and sign-off'!B3:F3</f>
        <v>Alicia Wright</v>
      </c>
      <c r="C3" s="175"/>
      <c r="D3" s="175"/>
      <c r="E3" s="175"/>
      <c r="F3" s="46"/>
    </row>
    <row r="4" spans="1:6" ht="21" customHeight="1" x14ac:dyDescent="0.2">
      <c r="A4" s="4" t="s">
        <v>111</v>
      </c>
      <c r="B4" s="175">
        <f>'Summary and sign-off'!B4:F4</f>
        <v>43647</v>
      </c>
      <c r="C4" s="175"/>
      <c r="D4" s="175"/>
      <c r="E4" s="175"/>
      <c r="F4" s="46"/>
    </row>
    <row r="5" spans="1:6" ht="21" customHeight="1" x14ac:dyDescent="0.2">
      <c r="A5" s="4" t="s">
        <v>112</v>
      </c>
      <c r="B5" s="175">
        <f>'Summary and sign-off'!B5:F5</f>
        <v>44012</v>
      </c>
      <c r="C5" s="175"/>
      <c r="D5" s="175"/>
      <c r="E5" s="175"/>
      <c r="F5" s="46"/>
    </row>
    <row r="6" spans="1:6" ht="21" customHeight="1" x14ac:dyDescent="0.2">
      <c r="A6" s="4" t="s">
        <v>113</v>
      </c>
      <c r="B6" s="170" t="s">
        <v>81</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89" t="s">
        <v>172</v>
      </c>
      <c r="D13" s="159"/>
      <c r="E13" s="160"/>
      <c r="F13" s="1"/>
    </row>
    <row r="14" spans="1:6" s="87" customFormat="1" x14ac:dyDescent="0.2">
      <c r="A14" s="190">
        <v>43661</v>
      </c>
      <c r="B14" s="191">
        <v>37.85</v>
      </c>
      <c r="C14" s="192" t="s">
        <v>173</v>
      </c>
      <c r="D14" s="193" t="s">
        <v>190</v>
      </c>
      <c r="E14" s="160"/>
      <c r="F14" s="1"/>
    </row>
    <row r="15" spans="1:6" s="87" customFormat="1" x14ac:dyDescent="0.2">
      <c r="A15" s="190">
        <v>43660</v>
      </c>
      <c r="B15" s="191">
        <f>12049+178-1076+100</f>
        <v>11251</v>
      </c>
      <c r="C15" s="194" t="s">
        <v>174</v>
      </c>
      <c r="D15" s="193" t="s">
        <v>191</v>
      </c>
      <c r="E15" s="160"/>
      <c r="F15" s="1"/>
    </row>
    <row r="16" spans="1:6" s="87" customFormat="1" x14ac:dyDescent="0.2">
      <c r="A16" s="190">
        <v>43661</v>
      </c>
      <c r="B16" s="191">
        <v>71.45</v>
      </c>
      <c r="C16" s="192" t="s">
        <v>173</v>
      </c>
      <c r="D16" s="193" t="s">
        <v>190</v>
      </c>
      <c r="E16" s="160"/>
      <c r="F16" s="1"/>
    </row>
    <row r="17" spans="1:6" s="87" customFormat="1" x14ac:dyDescent="0.2">
      <c r="A17" s="190">
        <v>43662</v>
      </c>
      <c r="B17" s="191">
        <v>13.05</v>
      </c>
      <c r="C17" s="192" t="s">
        <v>175</v>
      </c>
      <c r="D17" s="193" t="s">
        <v>190</v>
      </c>
      <c r="E17" s="160"/>
      <c r="F17" s="1"/>
    </row>
    <row r="18" spans="1:6" s="87" customFormat="1" x14ac:dyDescent="0.2">
      <c r="A18" s="190">
        <v>43662</v>
      </c>
      <c r="B18" s="191">
        <v>672.51</v>
      </c>
      <c r="C18" s="192" t="s">
        <v>176</v>
      </c>
      <c r="D18" s="193" t="s">
        <v>192</v>
      </c>
      <c r="E18" s="160"/>
      <c r="F18" s="1"/>
    </row>
    <row r="19" spans="1:6" s="87" customFormat="1" x14ac:dyDescent="0.2">
      <c r="A19" s="190">
        <v>43663</v>
      </c>
      <c r="B19" s="191">
        <v>17.510000000000002</v>
      </c>
      <c r="C19" s="192" t="s">
        <v>177</v>
      </c>
      <c r="D19" s="193" t="s">
        <v>190</v>
      </c>
      <c r="E19" s="160"/>
      <c r="F19" s="1"/>
    </row>
    <row r="20" spans="1:6" s="87" customFormat="1" x14ac:dyDescent="0.2">
      <c r="A20" s="190"/>
      <c r="B20" s="191"/>
      <c r="C20" s="189" t="s">
        <v>178</v>
      </c>
      <c r="D20" s="193"/>
      <c r="E20" s="160"/>
      <c r="F20" s="1"/>
    </row>
    <row r="21" spans="1:6" s="87" customFormat="1" x14ac:dyDescent="0.2">
      <c r="A21" s="190">
        <v>43781</v>
      </c>
      <c r="B21" s="191">
        <f>867.81+11</f>
        <v>878.81</v>
      </c>
      <c r="C21" s="194" t="s">
        <v>179</v>
      </c>
      <c r="D21" s="193" t="s">
        <v>191</v>
      </c>
      <c r="E21" s="160"/>
      <c r="F21" s="1"/>
    </row>
    <row r="22" spans="1:6" s="87" customFormat="1" x14ac:dyDescent="0.2">
      <c r="A22" s="190">
        <v>43781</v>
      </c>
      <c r="B22" s="191">
        <v>39.36</v>
      </c>
      <c r="C22" s="192" t="s">
        <v>180</v>
      </c>
      <c r="D22" s="193" t="s">
        <v>190</v>
      </c>
      <c r="E22" s="160"/>
      <c r="F22" s="1"/>
    </row>
    <row r="23" spans="1:6" s="87" customFormat="1" x14ac:dyDescent="0.2">
      <c r="A23" s="190">
        <v>43781</v>
      </c>
      <c r="B23" s="191">
        <v>745.22</v>
      </c>
      <c r="C23" s="194" t="s">
        <v>181</v>
      </c>
      <c r="D23" s="193" t="s">
        <v>193</v>
      </c>
      <c r="E23" s="160"/>
      <c r="F23" s="1"/>
    </row>
    <row r="24" spans="1:6" s="87" customFormat="1" x14ac:dyDescent="0.2">
      <c r="A24" s="190">
        <v>43785</v>
      </c>
      <c r="B24" s="191">
        <v>715.92</v>
      </c>
      <c r="C24" s="194" t="s">
        <v>182</v>
      </c>
      <c r="D24" s="193" t="s">
        <v>191</v>
      </c>
      <c r="E24" s="160"/>
      <c r="F24" s="1"/>
    </row>
    <row r="25" spans="1:6" s="87" customFormat="1" x14ac:dyDescent="0.2">
      <c r="A25" s="190">
        <v>43785</v>
      </c>
      <c r="B25" s="191">
        <v>5.99</v>
      </c>
      <c r="C25" s="194" t="s">
        <v>183</v>
      </c>
      <c r="D25" s="193" t="s">
        <v>192</v>
      </c>
      <c r="E25" s="160"/>
      <c r="F25" s="1"/>
    </row>
    <row r="26" spans="1:6" s="87" customFormat="1" x14ac:dyDescent="0.2">
      <c r="A26" s="190"/>
      <c r="B26" s="191"/>
      <c r="C26" s="195" t="s">
        <v>184</v>
      </c>
      <c r="D26" s="193"/>
      <c r="E26" s="160"/>
      <c r="F26" s="1"/>
    </row>
    <row r="27" spans="1:6" s="87" customFormat="1" x14ac:dyDescent="0.2">
      <c r="A27" s="190">
        <v>43858</v>
      </c>
      <c r="B27" s="191">
        <f>747.93+11</f>
        <v>758.93</v>
      </c>
      <c r="C27" s="194" t="s">
        <v>179</v>
      </c>
      <c r="D27" s="193" t="s">
        <v>191</v>
      </c>
      <c r="E27" s="160"/>
      <c r="F27" s="1"/>
    </row>
    <row r="28" spans="1:6" s="87" customFormat="1" x14ac:dyDescent="0.2">
      <c r="A28" s="190">
        <v>43858</v>
      </c>
      <c r="B28" s="191">
        <v>16.09</v>
      </c>
      <c r="C28" s="194" t="s">
        <v>185</v>
      </c>
      <c r="D28" s="193" t="s">
        <v>192</v>
      </c>
      <c r="E28" s="160"/>
      <c r="F28" s="1"/>
    </row>
    <row r="29" spans="1:6" s="87" customFormat="1" x14ac:dyDescent="0.2">
      <c r="A29" s="190">
        <v>43858</v>
      </c>
      <c r="B29" s="191">
        <v>61.97</v>
      </c>
      <c r="C29" s="194" t="s">
        <v>186</v>
      </c>
      <c r="D29" s="193" t="s">
        <v>190</v>
      </c>
      <c r="E29" s="160"/>
      <c r="F29" s="1"/>
    </row>
    <row r="30" spans="1:6" s="87" customFormat="1" x14ac:dyDescent="0.2">
      <c r="A30" s="190">
        <v>43858</v>
      </c>
      <c r="B30" s="191">
        <f>215.88</f>
        <v>215.88</v>
      </c>
      <c r="C30" s="194" t="s">
        <v>187</v>
      </c>
      <c r="D30" s="193" t="s">
        <v>193</v>
      </c>
      <c r="E30" s="160"/>
      <c r="F30" s="1"/>
    </row>
    <row r="31" spans="1:6" s="87" customFormat="1" x14ac:dyDescent="0.2">
      <c r="A31" s="190">
        <v>43859</v>
      </c>
      <c r="B31" s="191">
        <v>64.52</v>
      </c>
      <c r="C31" s="194" t="s">
        <v>173</v>
      </c>
      <c r="D31" s="193" t="s">
        <v>190</v>
      </c>
      <c r="E31" s="160"/>
      <c r="F31" s="1"/>
    </row>
    <row r="32" spans="1:6" s="87" customFormat="1" x14ac:dyDescent="0.2">
      <c r="A32" s="190"/>
      <c r="B32" s="191"/>
      <c r="C32" s="195" t="s">
        <v>188</v>
      </c>
      <c r="D32" s="193"/>
      <c r="E32" s="160"/>
      <c r="F32" s="1"/>
    </row>
    <row r="33" spans="1:6" s="87" customFormat="1" ht="12.75" customHeight="1" x14ac:dyDescent="0.2">
      <c r="A33" s="190">
        <v>43894</v>
      </c>
      <c r="B33" s="191">
        <f>996.93+11</f>
        <v>1007.93</v>
      </c>
      <c r="C33" s="194" t="s">
        <v>189</v>
      </c>
      <c r="D33" s="193" t="s">
        <v>191</v>
      </c>
      <c r="E33" s="160"/>
      <c r="F33" s="1"/>
    </row>
    <row r="34" spans="1:6" s="87" customFormat="1" x14ac:dyDescent="0.2">
      <c r="A34" s="161"/>
      <c r="B34" s="158"/>
      <c r="C34" s="159"/>
      <c r="D34" s="159"/>
      <c r="E34" s="160"/>
      <c r="F34" s="1"/>
    </row>
    <row r="35" spans="1:6" s="87" customFormat="1" x14ac:dyDescent="0.2">
      <c r="A35" s="161"/>
      <c r="B35" s="158"/>
      <c r="C35" s="159"/>
      <c r="D35" s="159"/>
      <c r="E35" s="160"/>
      <c r="F35" s="1"/>
    </row>
    <row r="36" spans="1:6" s="87" customFormat="1" hidden="1" x14ac:dyDescent="0.2">
      <c r="A36" s="143"/>
      <c r="B36" s="144"/>
      <c r="C36" s="145"/>
      <c r="D36" s="145"/>
      <c r="E36" s="146"/>
      <c r="F36" s="1"/>
    </row>
    <row r="37" spans="1:6" ht="19.5" customHeight="1" x14ac:dyDescent="0.2">
      <c r="A37" s="107" t="s">
        <v>122</v>
      </c>
      <c r="B37" s="108">
        <f>SUM(B12:B36)</f>
        <v>16573.989999999998</v>
      </c>
      <c r="C37" s="168" t="str">
        <f>IF(SUBTOTAL(3,B12:B36)=SUBTOTAL(103,B12:B36),'Summary and sign-off'!$A$48,'Summary and sign-off'!$A$49)</f>
        <v>Check - there are no hidden rows with data</v>
      </c>
      <c r="D37" s="176" t="str">
        <f>IF('Summary and sign-off'!F55='Summary and sign-off'!F54,'Summary and sign-off'!A51,'Summary and sign-off'!A50)</f>
        <v>Check - each entry provides sufficient information</v>
      </c>
      <c r="E37" s="176"/>
      <c r="F37" s="46"/>
    </row>
    <row r="38" spans="1:6" ht="10.5" customHeight="1" x14ac:dyDescent="0.2">
      <c r="A38" s="27"/>
      <c r="B38" s="22"/>
      <c r="C38" s="27"/>
      <c r="D38" s="27"/>
      <c r="E38" s="27"/>
      <c r="F38" s="27"/>
    </row>
    <row r="39" spans="1:6" ht="24.75" customHeight="1" x14ac:dyDescent="0.2">
      <c r="A39" s="177" t="s">
        <v>123</v>
      </c>
      <c r="B39" s="177"/>
      <c r="C39" s="177"/>
      <c r="D39" s="177"/>
      <c r="E39" s="177"/>
      <c r="F39" s="47"/>
    </row>
    <row r="40" spans="1:6" ht="27" customHeight="1" x14ac:dyDescent="0.2">
      <c r="A40" s="35" t="s">
        <v>117</v>
      </c>
      <c r="B40" s="35" t="s">
        <v>62</v>
      </c>
      <c r="C40" s="35" t="s">
        <v>124</v>
      </c>
      <c r="D40" s="35" t="s">
        <v>120</v>
      </c>
      <c r="E40" s="35" t="s">
        <v>121</v>
      </c>
      <c r="F40" s="48"/>
    </row>
    <row r="41" spans="1:6" s="87" customFormat="1" hidden="1" x14ac:dyDescent="0.2">
      <c r="A41" s="133"/>
      <c r="B41" s="134"/>
      <c r="C41" s="135"/>
      <c r="D41" s="135"/>
      <c r="E41" s="136"/>
      <c r="F41" s="1"/>
    </row>
    <row r="42" spans="1:6" s="87" customFormat="1" x14ac:dyDescent="0.2">
      <c r="A42" s="157"/>
      <c r="B42" s="158"/>
      <c r="C42" s="159"/>
      <c r="D42" s="159"/>
      <c r="E42" s="160"/>
      <c r="F42" s="1"/>
    </row>
    <row r="43" spans="1:6" s="87" customFormat="1" x14ac:dyDescent="0.2">
      <c r="A43" s="196">
        <v>43647</v>
      </c>
      <c r="B43" s="197">
        <f>402.88+20+11+25.83+20</f>
        <v>479.71</v>
      </c>
      <c r="C43" s="194" t="s">
        <v>194</v>
      </c>
      <c r="D43" s="198" t="s">
        <v>191</v>
      </c>
      <c r="E43" s="160"/>
      <c r="F43" s="1"/>
    </row>
    <row r="44" spans="1:6" s="87" customFormat="1" x14ac:dyDescent="0.2">
      <c r="A44" s="196">
        <v>43647</v>
      </c>
      <c r="B44" s="197">
        <v>72</v>
      </c>
      <c r="C44" s="199" t="s">
        <v>195</v>
      </c>
      <c r="D44" s="198" t="s">
        <v>190</v>
      </c>
      <c r="E44" s="160"/>
      <c r="F44" s="1"/>
    </row>
    <row r="45" spans="1:6" s="87" customFormat="1" x14ac:dyDescent="0.2">
      <c r="A45" s="196">
        <v>43647</v>
      </c>
      <c r="B45" s="197">
        <v>24.87</v>
      </c>
      <c r="C45" s="199" t="s">
        <v>196</v>
      </c>
      <c r="D45" s="198" t="s">
        <v>190</v>
      </c>
      <c r="E45" s="160"/>
      <c r="F45" s="1"/>
    </row>
    <row r="46" spans="1:6" s="87" customFormat="1" x14ac:dyDescent="0.2">
      <c r="A46" s="196"/>
      <c r="B46" s="197"/>
      <c r="C46" s="200" t="s">
        <v>197</v>
      </c>
      <c r="D46" s="198"/>
      <c r="E46" s="160"/>
      <c r="F46" s="1"/>
    </row>
    <row r="47" spans="1:6" s="87" customFormat="1" x14ac:dyDescent="0.2">
      <c r="A47" s="196">
        <v>43810</v>
      </c>
      <c r="B47" s="197">
        <f>531.18/2</f>
        <v>265.58999999999997</v>
      </c>
      <c r="C47" s="194" t="s">
        <v>198</v>
      </c>
      <c r="D47" s="198" t="s">
        <v>191</v>
      </c>
      <c r="E47" s="160"/>
      <c r="F47" s="1"/>
    </row>
    <row r="48" spans="1:6" s="87" customFormat="1" x14ac:dyDescent="0.2">
      <c r="A48" s="196">
        <v>43811</v>
      </c>
      <c r="B48" s="197">
        <f>B47</f>
        <v>265.58999999999997</v>
      </c>
      <c r="C48" s="194" t="s">
        <v>199</v>
      </c>
      <c r="D48" s="198" t="s">
        <v>191</v>
      </c>
      <c r="E48" s="160"/>
      <c r="F48" s="1"/>
    </row>
    <row r="49" spans="1:6" s="87" customFormat="1" x14ac:dyDescent="0.2">
      <c r="A49" s="196">
        <v>43810</v>
      </c>
      <c r="B49" s="197">
        <f>9.47/1.15</f>
        <v>8.234782608695653</v>
      </c>
      <c r="C49" s="194" t="s">
        <v>200</v>
      </c>
      <c r="D49" s="198" t="s">
        <v>192</v>
      </c>
      <c r="E49" s="160"/>
      <c r="F49" s="1"/>
    </row>
    <row r="50" spans="1:6" s="87" customFormat="1" x14ac:dyDescent="0.2">
      <c r="A50" s="196">
        <v>43810</v>
      </c>
      <c r="B50" s="197">
        <f>36.39/1.15</f>
        <v>31.643478260869568</v>
      </c>
      <c r="C50" s="194" t="s">
        <v>201</v>
      </c>
      <c r="D50" s="198" t="s">
        <v>190</v>
      </c>
      <c r="E50" s="160"/>
      <c r="F50" s="1"/>
    </row>
    <row r="51" spans="1:6" s="87" customFormat="1" x14ac:dyDescent="0.2">
      <c r="A51" s="196">
        <v>43677</v>
      </c>
      <c r="B51" s="197">
        <v>501.89</v>
      </c>
      <c r="C51" s="194" t="s">
        <v>202</v>
      </c>
      <c r="D51" s="198" t="s">
        <v>191</v>
      </c>
      <c r="E51" s="160"/>
      <c r="F51" s="1"/>
    </row>
    <row r="52" spans="1:6" s="87" customFormat="1" x14ac:dyDescent="0.2">
      <c r="A52" s="196">
        <v>43677</v>
      </c>
      <c r="B52" s="197">
        <f>18.6/1.15</f>
        <v>16.173913043478262</v>
      </c>
      <c r="C52" s="194" t="s">
        <v>203</v>
      </c>
      <c r="D52" s="198" t="s">
        <v>190</v>
      </c>
      <c r="E52" s="160"/>
      <c r="F52" s="1"/>
    </row>
    <row r="53" spans="1:6" s="87" customFormat="1" x14ac:dyDescent="0.2">
      <c r="A53" s="196"/>
      <c r="B53" s="197"/>
      <c r="C53" s="195" t="s">
        <v>204</v>
      </c>
      <c r="D53" s="198"/>
      <c r="E53" s="160"/>
      <c r="F53" s="1"/>
    </row>
    <row r="54" spans="1:6" s="87" customFormat="1" x14ac:dyDescent="0.2">
      <c r="A54" s="196">
        <v>43815</v>
      </c>
      <c r="B54" s="197">
        <v>290.95999999999998</v>
      </c>
      <c r="C54" s="194" t="s">
        <v>205</v>
      </c>
      <c r="D54" s="201" t="s">
        <v>191</v>
      </c>
      <c r="E54" s="160"/>
      <c r="F54" s="1"/>
    </row>
    <row r="55" spans="1:6" s="87" customFormat="1" x14ac:dyDescent="0.2">
      <c r="A55" s="196">
        <v>43854</v>
      </c>
      <c r="B55" s="197">
        <f>222.96+11</f>
        <v>233.96</v>
      </c>
      <c r="C55" s="194" t="s">
        <v>206</v>
      </c>
      <c r="D55" s="201" t="s">
        <v>191</v>
      </c>
      <c r="E55" s="160"/>
      <c r="F55" s="1"/>
    </row>
    <row r="56" spans="1:6" s="87" customFormat="1" x14ac:dyDescent="0.2">
      <c r="A56" s="196">
        <v>43871</v>
      </c>
      <c r="B56" s="197">
        <f>296.28</f>
        <v>296.27999999999997</v>
      </c>
      <c r="C56" s="194" t="s">
        <v>198</v>
      </c>
      <c r="D56" s="201" t="s">
        <v>191</v>
      </c>
      <c r="E56" s="160"/>
      <c r="F56" s="1"/>
    </row>
    <row r="57" spans="1:6" s="87" customFormat="1" x14ac:dyDescent="0.2">
      <c r="A57" s="196">
        <v>43872</v>
      </c>
      <c r="B57" s="197">
        <f>530.29/2</f>
        <v>265.14499999999998</v>
      </c>
      <c r="C57" s="194" t="s">
        <v>207</v>
      </c>
      <c r="D57" s="201" t="s">
        <v>191</v>
      </c>
      <c r="E57" s="160"/>
      <c r="F57" s="1"/>
    </row>
    <row r="58" spans="1:6" s="87" customFormat="1" x14ac:dyDescent="0.2">
      <c r="A58" s="196">
        <v>43872</v>
      </c>
      <c r="B58" s="197">
        <f>B57</f>
        <v>265.14499999999998</v>
      </c>
      <c r="C58" s="194" t="s">
        <v>208</v>
      </c>
      <c r="D58" s="201" t="s">
        <v>191</v>
      </c>
      <c r="E58" s="160"/>
      <c r="F58" s="1"/>
    </row>
    <row r="59" spans="1:6" s="87" customFormat="1" x14ac:dyDescent="0.2">
      <c r="A59" s="196">
        <v>43879</v>
      </c>
      <c r="B59" s="197">
        <v>214.36</v>
      </c>
      <c r="C59" s="194" t="s">
        <v>205</v>
      </c>
      <c r="D59" s="201" t="s">
        <v>191</v>
      </c>
      <c r="E59" s="160"/>
      <c r="F59" s="1"/>
    </row>
    <row r="60" spans="1:6" s="87" customFormat="1" x14ac:dyDescent="0.2">
      <c r="A60" s="196">
        <v>43871</v>
      </c>
      <c r="B60" s="197">
        <v>233.91</v>
      </c>
      <c r="C60" s="194" t="s">
        <v>209</v>
      </c>
      <c r="D60" s="201" t="s">
        <v>193</v>
      </c>
      <c r="E60" s="160"/>
      <c r="F60" s="1"/>
    </row>
    <row r="61" spans="1:6" s="87" customFormat="1" x14ac:dyDescent="0.2">
      <c r="A61" s="196">
        <v>43878</v>
      </c>
      <c r="B61" s="197">
        <v>573.13</v>
      </c>
      <c r="C61" s="194" t="s">
        <v>210</v>
      </c>
      <c r="D61" s="201" t="s">
        <v>193</v>
      </c>
      <c r="E61" s="160"/>
      <c r="F61" s="1"/>
    </row>
    <row r="62" spans="1:6" s="87" customFormat="1" x14ac:dyDescent="0.2">
      <c r="A62" s="196">
        <v>43872</v>
      </c>
      <c r="B62" s="197">
        <v>46.87</v>
      </c>
      <c r="C62" s="194" t="s">
        <v>211</v>
      </c>
      <c r="D62" s="201" t="s">
        <v>190</v>
      </c>
      <c r="E62" s="160"/>
      <c r="F62" s="1"/>
    </row>
    <row r="63" spans="1:6" s="87" customFormat="1" x14ac:dyDescent="0.2">
      <c r="A63" s="196">
        <v>43872</v>
      </c>
      <c r="B63" s="197">
        <v>82</v>
      </c>
      <c r="C63" s="194" t="s">
        <v>212</v>
      </c>
      <c r="D63" s="201" t="s">
        <v>190</v>
      </c>
      <c r="E63" s="160"/>
      <c r="F63" s="1"/>
    </row>
    <row r="64" spans="1:6" s="87" customFormat="1" x14ac:dyDescent="0.2">
      <c r="A64" s="196">
        <v>43878</v>
      </c>
      <c r="B64" s="197">
        <f>44.87+106.96</f>
        <v>151.82999999999998</v>
      </c>
      <c r="C64" s="194" t="s">
        <v>213</v>
      </c>
      <c r="D64" s="201" t="s">
        <v>190</v>
      </c>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hidden="1" x14ac:dyDescent="0.2">
      <c r="A68" s="147"/>
      <c r="B68" s="148"/>
      <c r="C68" s="149"/>
      <c r="D68" s="149"/>
      <c r="E68" s="150"/>
      <c r="F68" s="1"/>
    </row>
    <row r="69" spans="1:6" ht="19.5" customHeight="1" x14ac:dyDescent="0.2">
      <c r="A69" s="107" t="s">
        <v>125</v>
      </c>
      <c r="B69" s="108">
        <f>SUM(B41:B68)</f>
        <v>4319.2921739130434</v>
      </c>
      <c r="C69" s="168" t="str">
        <f>IF(SUBTOTAL(3,B41:B68)=SUBTOTAL(103,B41:B68),'Summary and sign-off'!$A$48,'Summary and sign-off'!$A$49)</f>
        <v>Check - there are no hidden rows with data</v>
      </c>
      <c r="D69" s="176" t="str">
        <f>IF('Summary and sign-off'!F56='Summary and sign-off'!F54,'Summary and sign-off'!A51,'Summary and sign-off'!A50)</f>
        <v>Check - each entry provides sufficient information</v>
      </c>
      <c r="E69" s="176"/>
      <c r="F69" s="46"/>
    </row>
    <row r="70" spans="1:6" ht="10.5" customHeight="1" x14ac:dyDescent="0.2">
      <c r="A70" s="27"/>
      <c r="B70" s="22"/>
      <c r="C70" s="27"/>
      <c r="D70" s="27"/>
      <c r="E70" s="27"/>
      <c r="F70" s="27"/>
    </row>
    <row r="71" spans="1:6" ht="24.75" customHeight="1" x14ac:dyDescent="0.2">
      <c r="A71" s="177" t="s">
        <v>126</v>
      </c>
      <c r="B71" s="177"/>
      <c r="C71" s="177"/>
      <c r="D71" s="177"/>
      <c r="E71" s="177"/>
      <c r="F71" s="46"/>
    </row>
    <row r="72" spans="1:6" ht="27" customHeight="1" x14ac:dyDescent="0.2">
      <c r="A72" s="35" t="s">
        <v>117</v>
      </c>
      <c r="B72" s="35" t="s">
        <v>62</v>
      </c>
      <c r="C72" s="35" t="s">
        <v>127</v>
      </c>
      <c r="D72" s="35" t="s">
        <v>128</v>
      </c>
      <c r="E72" s="35" t="s">
        <v>121</v>
      </c>
      <c r="F72" s="49"/>
    </row>
    <row r="73" spans="1:6" s="87" customFormat="1" hidden="1" x14ac:dyDescent="0.2">
      <c r="A73" s="133"/>
      <c r="B73" s="134"/>
      <c r="C73" s="135"/>
      <c r="D73" s="135"/>
      <c r="E73" s="136"/>
      <c r="F73" s="1"/>
    </row>
    <row r="74" spans="1:6" s="87" customFormat="1" x14ac:dyDescent="0.2">
      <c r="A74" s="157"/>
      <c r="B74" s="158"/>
      <c r="C74" s="159"/>
      <c r="D74" s="159"/>
      <c r="E74" s="160"/>
      <c r="F74" s="1"/>
    </row>
    <row r="75" spans="1:6" s="87" customFormat="1" x14ac:dyDescent="0.2">
      <c r="A75" s="196">
        <v>43647</v>
      </c>
      <c r="B75" s="197">
        <f>6/1.15</f>
        <v>5.2173913043478262</v>
      </c>
      <c r="C75" s="202" t="s">
        <v>214</v>
      </c>
      <c r="D75" s="203" t="s">
        <v>225</v>
      </c>
      <c r="E75" s="160" t="s">
        <v>227</v>
      </c>
      <c r="F75" s="1"/>
    </row>
    <row r="76" spans="1:6" s="87" customFormat="1" x14ac:dyDescent="0.2">
      <c r="A76" s="196">
        <v>43649</v>
      </c>
      <c r="B76" s="197">
        <f>7.25/1.15</f>
        <v>6.304347826086957</v>
      </c>
      <c r="C76" s="202" t="s">
        <v>215</v>
      </c>
      <c r="D76" s="203" t="s">
        <v>225</v>
      </c>
      <c r="E76" s="160" t="s">
        <v>227</v>
      </c>
      <c r="F76" s="1"/>
    </row>
    <row r="77" spans="1:6" s="87" customFormat="1" x14ac:dyDescent="0.2">
      <c r="A77" s="196">
        <v>43651</v>
      </c>
      <c r="B77" s="197">
        <f>5.5/1.15</f>
        <v>4.7826086956521747</v>
      </c>
      <c r="C77" s="202" t="s">
        <v>215</v>
      </c>
      <c r="D77" s="203" t="s">
        <v>225</v>
      </c>
      <c r="E77" s="160" t="s">
        <v>227</v>
      </c>
      <c r="F77" s="1"/>
    </row>
    <row r="78" spans="1:6" s="87" customFormat="1" x14ac:dyDescent="0.2">
      <c r="A78" s="196">
        <v>43667</v>
      </c>
      <c r="B78" s="197">
        <f>6/1.15</f>
        <v>5.2173913043478262</v>
      </c>
      <c r="C78" s="202" t="s">
        <v>216</v>
      </c>
      <c r="D78" s="203" t="s">
        <v>225</v>
      </c>
      <c r="E78" s="160" t="s">
        <v>227</v>
      </c>
      <c r="F78" s="1"/>
    </row>
    <row r="79" spans="1:6" s="87" customFormat="1" x14ac:dyDescent="0.2">
      <c r="A79" s="196">
        <v>43677</v>
      </c>
      <c r="B79" s="197">
        <f>34/1.15</f>
        <v>29.565217391304351</v>
      </c>
      <c r="C79" s="202" t="s">
        <v>217</v>
      </c>
      <c r="D79" s="203" t="s">
        <v>225</v>
      </c>
      <c r="E79" s="160" t="s">
        <v>227</v>
      </c>
      <c r="F79" s="1"/>
    </row>
    <row r="80" spans="1:6" s="87" customFormat="1" x14ac:dyDescent="0.2">
      <c r="A80" s="196">
        <v>43684</v>
      </c>
      <c r="B80" s="197">
        <v>30.22</v>
      </c>
      <c r="C80" s="202" t="s">
        <v>215</v>
      </c>
      <c r="D80" s="198" t="s">
        <v>190</v>
      </c>
      <c r="E80" s="160" t="s">
        <v>227</v>
      </c>
      <c r="F80" s="1"/>
    </row>
    <row r="81" spans="1:6" s="87" customFormat="1" x14ac:dyDescent="0.2">
      <c r="A81" s="196">
        <v>43717</v>
      </c>
      <c r="B81" s="197">
        <f>16.52+9.83</f>
        <v>26.35</v>
      </c>
      <c r="C81" s="202" t="s">
        <v>215</v>
      </c>
      <c r="D81" s="198" t="s">
        <v>190</v>
      </c>
      <c r="E81" s="160" t="s">
        <v>227</v>
      </c>
      <c r="F81" s="1"/>
    </row>
    <row r="82" spans="1:6" s="87" customFormat="1" x14ac:dyDescent="0.2">
      <c r="A82" s="196">
        <v>43718</v>
      </c>
      <c r="B82" s="197">
        <f>8.5/1.15</f>
        <v>7.3913043478260878</v>
      </c>
      <c r="C82" s="202" t="s">
        <v>218</v>
      </c>
      <c r="D82" s="203" t="s">
        <v>225</v>
      </c>
      <c r="E82" s="160" t="s">
        <v>227</v>
      </c>
      <c r="F82" s="1"/>
    </row>
    <row r="83" spans="1:6" s="87" customFormat="1" x14ac:dyDescent="0.2">
      <c r="A83" s="196">
        <v>43733</v>
      </c>
      <c r="B83" s="197">
        <f>11.65+12.78+5.08</f>
        <v>29.509999999999998</v>
      </c>
      <c r="C83" s="202" t="s">
        <v>215</v>
      </c>
      <c r="D83" s="198" t="s">
        <v>190</v>
      </c>
      <c r="E83" s="160" t="s">
        <v>227</v>
      </c>
      <c r="F83" s="1"/>
    </row>
    <row r="84" spans="1:6" s="87" customFormat="1" x14ac:dyDescent="0.2">
      <c r="A84" s="196">
        <v>43739</v>
      </c>
      <c r="B84" s="197">
        <f>5/1.15</f>
        <v>4.3478260869565224</v>
      </c>
      <c r="C84" s="202" t="s">
        <v>215</v>
      </c>
      <c r="D84" s="203" t="s">
        <v>225</v>
      </c>
      <c r="E84" s="160" t="s">
        <v>227</v>
      </c>
      <c r="F84" s="1"/>
    </row>
    <row r="85" spans="1:6" s="87" customFormat="1" x14ac:dyDescent="0.2">
      <c r="A85" s="196">
        <v>43747</v>
      </c>
      <c r="B85" s="197">
        <f>8.5/1.15</f>
        <v>7.3913043478260878</v>
      </c>
      <c r="C85" s="202" t="s">
        <v>215</v>
      </c>
      <c r="D85" s="203" t="s">
        <v>225</v>
      </c>
      <c r="E85" s="160" t="s">
        <v>227</v>
      </c>
      <c r="F85" s="1"/>
    </row>
    <row r="86" spans="1:6" s="87" customFormat="1" x14ac:dyDescent="0.2">
      <c r="A86" s="196">
        <v>43753</v>
      </c>
      <c r="B86" s="197">
        <f>313/1.15</f>
        <v>272.17391304347831</v>
      </c>
      <c r="C86" s="202" t="s">
        <v>219</v>
      </c>
      <c r="D86" s="203" t="s">
        <v>192</v>
      </c>
      <c r="E86" s="160" t="s">
        <v>227</v>
      </c>
      <c r="F86" s="1"/>
    </row>
    <row r="87" spans="1:6" s="87" customFormat="1" x14ac:dyDescent="0.2">
      <c r="A87" s="196">
        <v>43767</v>
      </c>
      <c r="B87" s="197">
        <f>5.5/1.15</f>
        <v>4.7826086956521747</v>
      </c>
      <c r="C87" s="202" t="s">
        <v>215</v>
      </c>
      <c r="D87" s="198" t="s">
        <v>225</v>
      </c>
      <c r="E87" s="160" t="s">
        <v>227</v>
      </c>
      <c r="F87" s="1"/>
    </row>
    <row r="88" spans="1:6" s="87" customFormat="1" x14ac:dyDescent="0.2">
      <c r="A88" s="196">
        <v>43774</v>
      </c>
      <c r="B88" s="197">
        <v>13.3</v>
      </c>
      <c r="C88" s="202" t="s">
        <v>215</v>
      </c>
      <c r="D88" s="198" t="s">
        <v>190</v>
      </c>
      <c r="E88" s="160" t="s">
        <v>227</v>
      </c>
      <c r="F88" s="1"/>
    </row>
    <row r="89" spans="1:6" s="87" customFormat="1" x14ac:dyDescent="0.2">
      <c r="A89" s="196">
        <v>43777</v>
      </c>
      <c r="B89" s="197">
        <f>5/1.15</f>
        <v>4.3478260869565224</v>
      </c>
      <c r="C89" s="202" t="s">
        <v>215</v>
      </c>
      <c r="D89" s="198" t="s">
        <v>225</v>
      </c>
      <c r="E89" s="160" t="s">
        <v>227</v>
      </c>
      <c r="F89" s="1"/>
    </row>
    <row r="90" spans="1:6" s="87" customFormat="1" x14ac:dyDescent="0.2">
      <c r="A90" s="196">
        <v>43781</v>
      </c>
      <c r="B90" s="197">
        <f>35.6/1.15</f>
        <v>30.956521739130437</v>
      </c>
      <c r="C90" s="202" t="s">
        <v>220</v>
      </c>
      <c r="D90" s="198" t="s">
        <v>190</v>
      </c>
      <c r="E90" s="160" t="s">
        <v>227</v>
      </c>
      <c r="F90" s="1"/>
    </row>
    <row r="91" spans="1:6" s="87" customFormat="1" x14ac:dyDescent="0.2">
      <c r="A91" s="196">
        <v>43788</v>
      </c>
      <c r="B91" s="197">
        <f>12.7+11.57</f>
        <v>24.27</v>
      </c>
      <c r="C91" s="202" t="s">
        <v>215</v>
      </c>
      <c r="D91" s="198" t="s">
        <v>190</v>
      </c>
      <c r="E91" s="160" t="s">
        <v>227</v>
      </c>
      <c r="F91" s="1"/>
    </row>
    <row r="92" spans="1:6" s="87" customFormat="1" x14ac:dyDescent="0.2">
      <c r="A92" s="196">
        <v>43789</v>
      </c>
      <c r="B92" s="197">
        <v>10.7</v>
      </c>
      <c r="C92" s="202" t="s">
        <v>215</v>
      </c>
      <c r="D92" s="198" t="s">
        <v>190</v>
      </c>
      <c r="E92" s="160" t="s">
        <v>227</v>
      </c>
      <c r="F92" s="1"/>
    </row>
    <row r="93" spans="1:6" s="87" customFormat="1" x14ac:dyDescent="0.2">
      <c r="A93" s="196">
        <v>43789</v>
      </c>
      <c r="B93" s="197">
        <f>14.7/1.15</f>
        <v>12.782608695652174</v>
      </c>
      <c r="C93" s="202" t="s">
        <v>215</v>
      </c>
      <c r="D93" s="198" t="s">
        <v>190</v>
      </c>
      <c r="E93" s="160" t="s">
        <v>227</v>
      </c>
      <c r="F93" s="1"/>
    </row>
    <row r="94" spans="1:6" s="87" customFormat="1" x14ac:dyDescent="0.2">
      <c r="A94" s="196">
        <v>43794</v>
      </c>
      <c r="B94" s="197">
        <f>8.09+13.13+5.62</f>
        <v>26.84</v>
      </c>
      <c r="C94" s="202" t="s">
        <v>215</v>
      </c>
      <c r="D94" s="198" t="s">
        <v>190</v>
      </c>
      <c r="E94" s="160" t="s">
        <v>227</v>
      </c>
      <c r="F94" s="1"/>
    </row>
    <row r="95" spans="1:6" s="87" customFormat="1" x14ac:dyDescent="0.2">
      <c r="A95" s="196">
        <v>43804</v>
      </c>
      <c r="B95" s="197">
        <f>16.7+11.3</f>
        <v>28</v>
      </c>
      <c r="C95" s="202" t="s">
        <v>215</v>
      </c>
      <c r="D95" s="198" t="s">
        <v>190</v>
      </c>
      <c r="E95" s="160" t="s">
        <v>227</v>
      </c>
      <c r="F95" s="1"/>
    </row>
    <row r="96" spans="1:6" s="87" customFormat="1" x14ac:dyDescent="0.2">
      <c r="A96" s="196">
        <v>43805</v>
      </c>
      <c r="B96" s="197">
        <f>10.96+9.4</f>
        <v>20.36</v>
      </c>
      <c r="C96" s="202" t="s">
        <v>215</v>
      </c>
      <c r="D96" s="198" t="s">
        <v>190</v>
      </c>
      <c r="E96" s="160" t="s">
        <v>227</v>
      </c>
      <c r="F96" s="1"/>
    </row>
    <row r="97" spans="1:6" s="87" customFormat="1" x14ac:dyDescent="0.2">
      <c r="A97" s="196">
        <v>43809</v>
      </c>
      <c r="B97" s="197">
        <f>7.5/1.15</f>
        <v>6.5217391304347831</v>
      </c>
      <c r="C97" s="202" t="s">
        <v>221</v>
      </c>
      <c r="D97" s="198" t="s">
        <v>225</v>
      </c>
      <c r="E97" s="160" t="s">
        <v>227</v>
      </c>
      <c r="F97" s="1"/>
    </row>
    <row r="98" spans="1:6" s="87" customFormat="1" x14ac:dyDescent="0.2">
      <c r="A98" s="196">
        <v>43816</v>
      </c>
      <c r="B98" s="197">
        <f>21.74+38</f>
        <v>59.739999999999995</v>
      </c>
      <c r="C98" s="202" t="s">
        <v>215</v>
      </c>
      <c r="D98" s="198" t="s">
        <v>190</v>
      </c>
      <c r="E98" s="160" t="s">
        <v>227</v>
      </c>
      <c r="F98" s="1"/>
    </row>
    <row r="99" spans="1:6" s="87" customFormat="1" x14ac:dyDescent="0.2">
      <c r="A99" s="196">
        <v>43817</v>
      </c>
      <c r="B99" s="197">
        <f>9.65+21.29</f>
        <v>30.939999999999998</v>
      </c>
      <c r="C99" s="202" t="s">
        <v>215</v>
      </c>
      <c r="D99" s="198" t="s">
        <v>190</v>
      </c>
      <c r="E99" s="160" t="s">
        <v>227</v>
      </c>
      <c r="F99" s="1"/>
    </row>
    <row r="100" spans="1:6" s="87" customFormat="1" x14ac:dyDescent="0.2">
      <c r="A100" s="196">
        <v>43852</v>
      </c>
      <c r="B100" s="197">
        <f>11.3+12.96</f>
        <v>24.26</v>
      </c>
      <c r="C100" s="202" t="s">
        <v>215</v>
      </c>
      <c r="D100" s="198" t="s">
        <v>190</v>
      </c>
      <c r="E100" s="160" t="s">
        <v>227</v>
      </c>
      <c r="F100" s="1"/>
    </row>
    <row r="101" spans="1:6" s="87" customFormat="1" x14ac:dyDescent="0.2">
      <c r="A101" s="196">
        <v>43858</v>
      </c>
      <c r="B101" s="197">
        <f>30.43+5.47</f>
        <v>35.9</v>
      </c>
      <c r="C101" s="194" t="s">
        <v>222</v>
      </c>
      <c r="D101" s="198" t="s">
        <v>190</v>
      </c>
      <c r="E101" s="160" t="s">
        <v>227</v>
      </c>
      <c r="F101" s="1"/>
    </row>
    <row r="102" spans="1:6" s="87" customFormat="1" x14ac:dyDescent="0.2">
      <c r="A102" s="196">
        <v>43872</v>
      </c>
      <c r="B102" s="197">
        <f>72/1.15</f>
        <v>62.608695652173921</v>
      </c>
      <c r="C102" s="194" t="s">
        <v>223</v>
      </c>
      <c r="D102" s="198" t="s">
        <v>225</v>
      </c>
      <c r="E102" s="160" t="s">
        <v>227</v>
      </c>
      <c r="F102" s="1"/>
    </row>
    <row r="103" spans="1:6" s="87" customFormat="1" x14ac:dyDescent="0.2">
      <c r="A103" s="196">
        <v>43873</v>
      </c>
      <c r="B103" s="197">
        <f>11.5/1.15</f>
        <v>10</v>
      </c>
      <c r="C103" s="202" t="s">
        <v>215</v>
      </c>
      <c r="D103" s="198" t="s">
        <v>226</v>
      </c>
      <c r="E103" s="160" t="s">
        <v>227</v>
      </c>
      <c r="F103" s="1"/>
    </row>
    <row r="104" spans="1:6" s="87" customFormat="1" x14ac:dyDescent="0.2">
      <c r="A104" s="196">
        <v>43879</v>
      </c>
      <c r="B104" s="197">
        <f>72/1.15</f>
        <v>62.608695652173921</v>
      </c>
      <c r="C104" s="194" t="s">
        <v>224</v>
      </c>
      <c r="D104" s="198" t="s">
        <v>225</v>
      </c>
      <c r="E104" s="160" t="s">
        <v>227</v>
      </c>
      <c r="F104" s="1"/>
    </row>
    <row r="105" spans="1:6" s="87" customFormat="1" x14ac:dyDescent="0.2">
      <c r="A105" s="196">
        <v>43880</v>
      </c>
      <c r="B105" s="197">
        <f>8.5/1.15</f>
        <v>7.3913043478260878</v>
      </c>
      <c r="C105" s="202" t="s">
        <v>215</v>
      </c>
      <c r="D105" s="198" t="s">
        <v>226</v>
      </c>
      <c r="E105" s="160" t="s">
        <v>227</v>
      </c>
      <c r="F105" s="1"/>
    </row>
    <row r="106" spans="1:6" s="87" customFormat="1" x14ac:dyDescent="0.2">
      <c r="A106" s="196">
        <v>43887</v>
      </c>
      <c r="B106" s="197">
        <f>7.25/1.15</f>
        <v>6.304347826086957</v>
      </c>
      <c r="C106" s="202" t="s">
        <v>215</v>
      </c>
      <c r="D106" s="198" t="s">
        <v>225</v>
      </c>
      <c r="E106" s="160" t="s">
        <v>227</v>
      </c>
      <c r="F106" s="1"/>
    </row>
    <row r="107" spans="1:6" s="87" customFormat="1" x14ac:dyDescent="0.2">
      <c r="A107" s="196">
        <v>43900</v>
      </c>
      <c r="B107" s="197">
        <f>7.25/1.15</f>
        <v>6.304347826086957</v>
      </c>
      <c r="C107" s="202" t="s">
        <v>215</v>
      </c>
      <c r="D107" s="198" t="s">
        <v>225</v>
      </c>
      <c r="E107" s="160" t="s">
        <v>227</v>
      </c>
      <c r="F107" s="1"/>
    </row>
    <row r="108" spans="1:6" s="87" customFormat="1" x14ac:dyDescent="0.2">
      <c r="A108" s="196">
        <v>43901</v>
      </c>
      <c r="B108" s="197">
        <f>9.83+14.78</f>
        <v>24.61</v>
      </c>
      <c r="C108" s="202" t="s">
        <v>215</v>
      </c>
      <c r="D108" s="198" t="s">
        <v>190</v>
      </c>
      <c r="E108" s="160" t="s">
        <v>227</v>
      </c>
      <c r="F108" s="1"/>
    </row>
    <row r="109" spans="1:6" s="87" customFormat="1" x14ac:dyDescent="0.2">
      <c r="A109" s="196">
        <v>43902</v>
      </c>
      <c r="B109" s="197">
        <v>9.83</v>
      </c>
      <c r="C109" s="202" t="s">
        <v>215</v>
      </c>
      <c r="D109" s="198" t="s">
        <v>190</v>
      </c>
      <c r="E109" s="160" t="s">
        <v>227</v>
      </c>
      <c r="F109" s="1"/>
    </row>
    <row r="110" spans="1:6" s="87" customFormat="1" x14ac:dyDescent="0.2">
      <c r="A110" s="196">
        <v>43902</v>
      </c>
      <c r="B110" s="197">
        <f>14.7/1.15</f>
        <v>12.782608695652174</v>
      </c>
      <c r="C110" s="202" t="s">
        <v>215</v>
      </c>
      <c r="D110" s="198" t="s">
        <v>190</v>
      </c>
      <c r="E110" s="160" t="s">
        <v>227</v>
      </c>
      <c r="F110" s="1"/>
    </row>
    <row r="111" spans="1:6" s="87" customFormat="1" x14ac:dyDescent="0.2">
      <c r="A111" s="196">
        <v>43979</v>
      </c>
      <c r="B111" s="197">
        <f>7.25/1.15</f>
        <v>6.304347826086957</v>
      </c>
      <c r="C111" s="202" t="s">
        <v>215</v>
      </c>
      <c r="D111" s="198" t="s">
        <v>225</v>
      </c>
      <c r="E111" s="160" t="s">
        <v>227</v>
      </c>
      <c r="F111" s="1"/>
    </row>
    <row r="112" spans="1:6" s="87" customFormat="1" x14ac:dyDescent="0.2">
      <c r="A112" s="196">
        <v>43990</v>
      </c>
      <c r="B112" s="197">
        <f>12.09+11.83</f>
        <v>23.92</v>
      </c>
      <c r="C112" s="202" t="s">
        <v>215</v>
      </c>
      <c r="D112" s="198" t="s">
        <v>190</v>
      </c>
      <c r="E112" s="160" t="s">
        <v>227</v>
      </c>
      <c r="F112" s="1"/>
    </row>
    <row r="113" spans="1:6" s="87" customFormat="1" x14ac:dyDescent="0.2">
      <c r="A113" s="196">
        <v>43998</v>
      </c>
      <c r="B113" s="197">
        <f>9.5/1.15</f>
        <v>8.2608695652173925</v>
      </c>
      <c r="C113" s="202" t="s">
        <v>215</v>
      </c>
      <c r="D113" s="198" t="s">
        <v>225</v>
      </c>
      <c r="E113" s="160" t="s">
        <v>227</v>
      </c>
      <c r="F113" s="1"/>
    </row>
    <row r="114" spans="1:6" s="87" customFormat="1" x14ac:dyDescent="0.2">
      <c r="A114" s="196">
        <v>43999</v>
      </c>
      <c r="B114" s="197">
        <f>12.09+11.83</f>
        <v>23.92</v>
      </c>
      <c r="C114" s="202" t="s">
        <v>215</v>
      </c>
      <c r="D114" s="198" t="s">
        <v>190</v>
      </c>
      <c r="E114" s="160" t="s">
        <v>227</v>
      </c>
      <c r="F114" s="1"/>
    </row>
    <row r="115" spans="1:6" s="87" customFormat="1" x14ac:dyDescent="0.2">
      <c r="A115" s="196">
        <v>44001</v>
      </c>
      <c r="B115" s="197">
        <f>9.5/1.15</f>
        <v>8.2608695652173925</v>
      </c>
      <c r="C115" s="202" t="s">
        <v>215</v>
      </c>
      <c r="D115" s="198" t="s">
        <v>225</v>
      </c>
      <c r="E115" s="160" t="s">
        <v>227</v>
      </c>
      <c r="F115" s="1"/>
    </row>
    <row r="116" spans="1:6" s="87" customFormat="1" x14ac:dyDescent="0.2">
      <c r="A116" s="157"/>
      <c r="B116" s="158"/>
      <c r="C116" s="159"/>
      <c r="D116" s="159"/>
      <c r="E116" s="160"/>
      <c r="F116" s="1"/>
    </row>
    <row r="117" spans="1:6" s="87" customFormat="1" x14ac:dyDescent="0.2">
      <c r="A117" s="157"/>
      <c r="B117" s="158"/>
      <c r="C117" s="159"/>
      <c r="D117" s="159"/>
      <c r="E117" s="160"/>
      <c r="F117" s="1"/>
    </row>
    <row r="118" spans="1:6" s="87" customFormat="1" hidden="1" x14ac:dyDescent="0.2">
      <c r="A118" s="133"/>
      <c r="B118" s="134"/>
      <c r="C118" s="135"/>
      <c r="D118" s="135"/>
      <c r="E118" s="136"/>
      <c r="F118" s="1"/>
    </row>
    <row r="119" spans="1:6" ht="19.5" customHeight="1" x14ac:dyDescent="0.2">
      <c r="A119" s="107" t="s">
        <v>129</v>
      </c>
      <c r="B119" s="108">
        <f>SUM(B73:B118)</f>
        <v>1035.2786956521741</v>
      </c>
      <c r="C119" s="168" t="str">
        <f>IF(SUBTOTAL(3,B73:B118)=SUBTOTAL(103,B73:B118),'Summary and sign-off'!$A$48,'Summary and sign-off'!$A$49)</f>
        <v>Check - there are no hidden rows with data</v>
      </c>
      <c r="D119" s="176" t="str">
        <f>IF('Summary and sign-off'!F57='Summary and sign-off'!F54,'Summary and sign-off'!A51,'Summary and sign-off'!A50)</f>
        <v>Check - each entry provides sufficient information</v>
      </c>
      <c r="E119" s="176"/>
      <c r="F119" s="46"/>
    </row>
    <row r="120" spans="1:6" ht="10.5" customHeight="1" x14ac:dyDescent="0.2">
      <c r="A120" s="27"/>
      <c r="B120" s="92"/>
      <c r="C120" s="22"/>
      <c r="D120" s="27"/>
      <c r="E120" s="27"/>
      <c r="F120" s="27"/>
    </row>
    <row r="121" spans="1:6" ht="34.5" customHeight="1" x14ac:dyDescent="0.2">
      <c r="A121" s="50" t="s">
        <v>130</v>
      </c>
      <c r="B121" s="93">
        <f>B37+B69+B119</f>
        <v>21928.560869565215</v>
      </c>
      <c r="C121" s="51"/>
      <c r="D121" s="51"/>
      <c r="E121" s="51"/>
      <c r="F121" s="26"/>
    </row>
    <row r="122" spans="1:6" x14ac:dyDescent="0.2">
      <c r="A122" s="27"/>
      <c r="B122" s="22"/>
      <c r="C122" s="27"/>
      <c r="D122" s="27"/>
      <c r="E122" s="27"/>
      <c r="F122" s="27"/>
    </row>
    <row r="123" spans="1:6" x14ac:dyDescent="0.2">
      <c r="A123" s="52" t="s">
        <v>73</v>
      </c>
      <c r="B123" s="25"/>
      <c r="C123" s="26"/>
      <c r="D123" s="26"/>
      <c r="E123" s="26"/>
      <c r="F123" s="27"/>
    </row>
    <row r="124" spans="1:6" ht="12.6" customHeight="1" x14ac:dyDescent="0.2">
      <c r="A124" s="23" t="s">
        <v>131</v>
      </c>
      <c r="B124" s="53"/>
      <c r="C124" s="53"/>
      <c r="D124" s="32"/>
      <c r="E124" s="32"/>
      <c r="F124" s="27"/>
    </row>
    <row r="125" spans="1:6" ht="12.95" customHeight="1" x14ac:dyDescent="0.2">
      <c r="A125" s="31" t="s">
        <v>132</v>
      </c>
      <c r="B125" s="27"/>
      <c r="C125" s="32"/>
      <c r="D125" s="27"/>
      <c r="E125" s="32"/>
      <c r="F125" s="27"/>
    </row>
    <row r="126" spans="1:6" x14ac:dyDescent="0.2">
      <c r="A126" s="31" t="s">
        <v>133</v>
      </c>
      <c r="B126" s="32"/>
      <c r="C126" s="32"/>
      <c r="D126" s="32"/>
      <c r="E126" s="54"/>
      <c r="F126" s="46"/>
    </row>
    <row r="127" spans="1:6" x14ac:dyDescent="0.2">
      <c r="A127" s="23" t="s">
        <v>79</v>
      </c>
      <c r="B127" s="25"/>
      <c r="C127" s="26"/>
      <c r="D127" s="26"/>
      <c r="E127" s="26"/>
      <c r="F127" s="27"/>
    </row>
    <row r="128" spans="1:6" ht="12.95" customHeight="1" x14ac:dyDescent="0.2">
      <c r="A128" s="31" t="s">
        <v>134</v>
      </c>
      <c r="B128" s="27"/>
      <c r="C128" s="32"/>
      <c r="D128" s="27"/>
      <c r="E128" s="32"/>
      <c r="F128" s="27"/>
    </row>
    <row r="129" spans="1:6" x14ac:dyDescent="0.2">
      <c r="A129" s="31" t="s">
        <v>135</v>
      </c>
      <c r="B129" s="32"/>
      <c r="C129" s="32"/>
      <c r="D129" s="32"/>
      <c r="E129" s="54"/>
      <c r="F129" s="46"/>
    </row>
    <row r="130" spans="1:6" x14ac:dyDescent="0.2">
      <c r="A130" s="36" t="s">
        <v>136</v>
      </c>
      <c r="B130" s="36"/>
      <c r="C130" s="36"/>
      <c r="D130" s="36"/>
      <c r="E130" s="54"/>
      <c r="F130" s="46"/>
    </row>
    <row r="131" spans="1:6" x14ac:dyDescent="0.2">
      <c r="A131" s="40"/>
      <c r="B131" s="27"/>
      <c r="C131" s="27"/>
      <c r="D131" s="27"/>
      <c r="E131" s="46"/>
      <c r="F131" s="46"/>
    </row>
    <row r="132" spans="1:6" hidden="1" x14ac:dyDescent="0.2">
      <c r="A132" s="40"/>
      <c r="B132" s="27"/>
      <c r="C132" s="27"/>
      <c r="D132" s="27"/>
      <c r="E132" s="46"/>
      <c r="F132" s="46"/>
    </row>
    <row r="133" spans="1:6" hidden="1" x14ac:dyDescent="0.2"/>
    <row r="134" spans="1:6" hidden="1" x14ac:dyDescent="0.2"/>
    <row r="135" spans="1:6" hidden="1" x14ac:dyDescent="0.2"/>
    <row r="136" spans="1:6" hidden="1" x14ac:dyDescent="0.2"/>
    <row r="137" spans="1:6" ht="12.75" hidden="1" customHeight="1" x14ac:dyDescent="0.2"/>
    <row r="138" spans="1:6" hidden="1" x14ac:dyDescent="0.2"/>
    <row r="139" spans="1:6" hidden="1" x14ac:dyDescent="0.2"/>
    <row r="140" spans="1:6" hidden="1" x14ac:dyDescent="0.2">
      <c r="A140" s="55"/>
      <c r="B140" s="46"/>
      <c r="C140" s="46"/>
      <c r="D140" s="46"/>
      <c r="E140" s="46"/>
      <c r="F140" s="46"/>
    </row>
    <row r="141" spans="1:6" hidden="1" x14ac:dyDescent="0.2">
      <c r="A141" s="55"/>
      <c r="B141" s="46"/>
      <c r="C141" s="46"/>
      <c r="D141" s="46"/>
      <c r="E141" s="46"/>
      <c r="F141" s="46"/>
    </row>
    <row r="142" spans="1:6" hidden="1" x14ac:dyDescent="0.2">
      <c r="A142" s="55"/>
      <c r="B142" s="46"/>
      <c r="C142" s="46"/>
      <c r="D142" s="46"/>
      <c r="E142" s="46"/>
      <c r="F142" s="46"/>
    </row>
    <row r="143" spans="1:6" hidden="1" x14ac:dyDescent="0.2">
      <c r="A143" s="55"/>
      <c r="B143" s="46"/>
      <c r="C143" s="46"/>
      <c r="D143" s="46"/>
      <c r="E143" s="46"/>
      <c r="F143" s="46"/>
    </row>
    <row r="144" spans="1:6" hidden="1" x14ac:dyDescent="0.2">
      <c r="A144" s="55"/>
      <c r="B144" s="46"/>
      <c r="C144" s="46"/>
      <c r="D144" s="46"/>
      <c r="E144" s="46"/>
      <c r="F144" s="46"/>
    </row>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sheetData>
  <sheetProtection sheet="1" formatCells="0" formatRows="0" insertColumns="0" insertRows="0" deleteRows="0"/>
  <mergeCells count="15">
    <mergeCell ref="B7:E7"/>
    <mergeCell ref="B5:E5"/>
    <mergeCell ref="D119:E119"/>
    <mergeCell ref="A1:E1"/>
    <mergeCell ref="A39:E39"/>
    <mergeCell ref="A71:E71"/>
    <mergeCell ref="B2:E2"/>
    <mergeCell ref="B3:E3"/>
    <mergeCell ref="B4:E4"/>
    <mergeCell ref="A8:E8"/>
    <mergeCell ref="A9:E9"/>
    <mergeCell ref="B6:E6"/>
    <mergeCell ref="D37:E37"/>
    <mergeCell ref="D69:E6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1 A67:A68 A12 A36 A73 A11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2 A4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9 A62 A31 A13:A28 A30 A32 A33 A34 A35 A42:A60 A61 A63 A64 A65 A66 A74:A115 A116 A11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B41:B68 B12:B36 B73:B118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Electoral Commission</v>
      </c>
      <c r="C2" s="175"/>
      <c r="D2" s="175"/>
      <c r="E2" s="175"/>
      <c r="F2" s="38"/>
    </row>
    <row r="3" spans="1:6" ht="21" customHeight="1" x14ac:dyDescent="0.2">
      <c r="A3" s="4" t="s">
        <v>110</v>
      </c>
      <c r="B3" s="175" t="str">
        <f>'Summary and sign-off'!B3:F3</f>
        <v>Alicia Wright</v>
      </c>
      <c r="C3" s="175"/>
      <c r="D3" s="175"/>
      <c r="E3" s="175"/>
      <c r="F3" s="38"/>
    </row>
    <row r="4" spans="1:6" ht="21" customHeight="1" x14ac:dyDescent="0.2">
      <c r="A4" s="4" t="s">
        <v>111</v>
      </c>
      <c r="B4" s="175">
        <f>'Summary and sign-off'!B4:F4</f>
        <v>43647</v>
      </c>
      <c r="C4" s="175"/>
      <c r="D4" s="175"/>
      <c r="E4" s="175"/>
      <c r="F4" s="38"/>
    </row>
    <row r="5" spans="1:6" ht="21" customHeight="1" x14ac:dyDescent="0.2">
      <c r="A5" s="4" t="s">
        <v>112</v>
      </c>
      <c r="B5" s="175">
        <f>'Summary and sign-off'!B5:F5</f>
        <v>44012</v>
      </c>
      <c r="C5" s="175"/>
      <c r="D5" s="175"/>
      <c r="E5" s="175"/>
      <c r="F5" s="38"/>
    </row>
    <row r="6" spans="1:6" ht="21" customHeight="1" x14ac:dyDescent="0.2">
      <c r="A6" s="4" t="s">
        <v>113</v>
      </c>
      <c r="B6" s="170" t="s">
        <v>81</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D13" sqref="D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Electoral Commission</v>
      </c>
      <c r="C2" s="175"/>
      <c r="D2" s="175"/>
      <c r="E2" s="175"/>
      <c r="F2" s="24"/>
    </row>
    <row r="3" spans="1:6" ht="21" customHeight="1" x14ac:dyDescent="0.2">
      <c r="A3" s="4" t="s">
        <v>110</v>
      </c>
      <c r="B3" s="175" t="str">
        <f>'Summary and sign-off'!B3:F3</f>
        <v>Alicia Wright</v>
      </c>
      <c r="C3" s="175"/>
      <c r="D3" s="175"/>
      <c r="E3" s="175"/>
      <c r="F3" s="24"/>
    </row>
    <row r="4" spans="1:6" ht="21" customHeight="1" x14ac:dyDescent="0.2">
      <c r="A4" s="4" t="s">
        <v>111</v>
      </c>
      <c r="B4" s="175">
        <f>'Summary and sign-off'!B4:F4</f>
        <v>43647</v>
      </c>
      <c r="C4" s="175"/>
      <c r="D4" s="175"/>
      <c r="E4" s="175"/>
      <c r="F4" s="24"/>
    </row>
    <row r="5" spans="1:6" ht="21" customHeight="1" x14ac:dyDescent="0.2">
      <c r="A5" s="4" t="s">
        <v>112</v>
      </c>
      <c r="B5" s="175">
        <f>'Summary and sign-off'!B5:F5</f>
        <v>44012</v>
      </c>
      <c r="C5" s="175"/>
      <c r="D5" s="175"/>
      <c r="E5" s="175"/>
      <c r="F5" s="24"/>
    </row>
    <row r="6" spans="1:6" ht="21" customHeight="1" x14ac:dyDescent="0.2">
      <c r="A6" s="4" t="s">
        <v>113</v>
      </c>
      <c r="B6" s="170" t="s">
        <v>81</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44011</v>
      </c>
      <c r="B12" s="158">
        <v>139.13</v>
      </c>
      <c r="C12" s="162" t="s">
        <v>228</v>
      </c>
      <c r="D12" s="162" t="s">
        <v>229</v>
      </c>
      <c r="E12" s="163" t="s">
        <v>227</v>
      </c>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139.13</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A12" sqref="A12:B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Electoral Commission</v>
      </c>
      <c r="C2" s="175"/>
      <c r="D2" s="175"/>
      <c r="E2" s="175"/>
      <c r="F2" s="175"/>
    </row>
    <row r="3" spans="1:6" ht="21" customHeight="1" x14ac:dyDescent="0.2">
      <c r="A3" s="4" t="s">
        <v>110</v>
      </c>
      <c r="B3" s="175" t="str">
        <f>'Summary and sign-off'!B3:F3</f>
        <v>Alicia Wright</v>
      </c>
      <c r="C3" s="175"/>
      <c r="D3" s="175"/>
      <c r="E3" s="175"/>
      <c r="F3" s="175"/>
    </row>
    <row r="4" spans="1:6" ht="21" customHeight="1" x14ac:dyDescent="0.2">
      <c r="A4" s="4" t="s">
        <v>111</v>
      </c>
      <c r="B4" s="175">
        <f>'Summary and sign-off'!B4:F4</f>
        <v>43647</v>
      </c>
      <c r="C4" s="175"/>
      <c r="D4" s="175"/>
      <c r="E4" s="175"/>
      <c r="F4" s="175"/>
    </row>
    <row r="5" spans="1:6" ht="21" customHeight="1" x14ac:dyDescent="0.2">
      <c r="A5" s="4" t="s">
        <v>112</v>
      </c>
      <c r="B5" s="175">
        <f>'Summary and sign-off'!B5:F5</f>
        <v>44012</v>
      </c>
      <c r="C5" s="175"/>
      <c r="D5" s="175"/>
      <c r="E5" s="175"/>
      <c r="F5" s="175"/>
    </row>
    <row r="6" spans="1:6" ht="21" customHeight="1" x14ac:dyDescent="0.2">
      <c r="A6" s="4" t="s">
        <v>154</v>
      </c>
      <c r="B6" s="170" t="s">
        <v>81</v>
      </c>
      <c r="C6" s="170"/>
      <c r="D6" s="170"/>
      <c r="E6" s="170"/>
      <c r="F6" s="170"/>
    </row>
    <row r="7" spans="1:6" ht="21" customHeight="1" x14ac:dyDescent="0.2">
      <c r="A7" s="4" t="s">
        <v>56</v>
      </c>
      <c r="B7" s="170" t="s">
        <v>83</v>
      </c>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Windows User</cp:lastModifiedBy>
  <cp:revision/>
  <dcterms:created xsi:type="dcterms:W3CDTF">2010-10-17T20:59:02Z</dcterms:created>
  <dcterms:modified xsi:type="dcterms:W3CDTF">2020-08-14T02:32:42Z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