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3040" windowHeight="913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expenses'!$A$1:$E$17</definedName>
    <definedName name="_xlnm.Print_Area" localSheetId="4">'Gifts and benefits'!$A$1:$F$18</definedName>
    <definedName name="_xlnm.Print_Area" localSheetId="2">Hospitality!$A$1:$E$16</definedName>
    <definedName name="_xlnm.Print_Area" localSheetId="0">'Summary and sign-off'!$A$1:$F$18</definedName>
    <definedName name="_xlnm.Print_Area" localSheetId="1">Travel!$A$1:$E$67</definedName>
  </definedNames>
  <calcPr calcId="145621"/>
</workbook>
</file>

<file path=xl/calcChain.xml><?xml version="1.0" encoding="utf-8"?>
<calcChain xmlns="http://schemas.openxmlformats.org/spreadsheetml/2006/main">
  <c r="B15" i="1" l="1"/>
  <c r="B50" i="1"/>
  <c r="B48" i="1"/>
  <c r="B47" i="1"/>
  <c r="B45" i="1"/>
  <c r="B44" i="1"/>
  <c r="B43" i="1"/>
  <c r="B39" i="1"/>
  <c r="B38" i="1"/>
  <c r="B37" i="1"/>
  <c r="B35" i="1"/>
  <c r="B34" i="1"/>
  <c r="B32" i="1"/>
  <c r="B30" i="1"/>
  <c r="B29" i="1"/>
  <c r="B28" i="1"/>
  <c r="B27" i="1"/>
  <c r="B17" i="1"/>
  <c r="B16" i="1"/>
  <c r="B14" i="1"/>
  <c r="B13" i="1"/>
  <c r="B18" i="1"/>
  <c r="B12" i="3" l="1"/>
  <c r="B6" i="13" l="1"/>
  <c r="E54" i="13"/>
  <c r="C54" i="13"/>
  <c r="C17" i="4"/>
  <c r="C16" i="4"/>
  <c r="B54" i="13" l="1"/>
  <c r="B53" i="13"/>
  <c r="D53" i="13"/>
  <c r="B52" i="13"/>
  <c r="D52" i="13"/>
  <c r="D51" i="13"/>
  <c r="B51" i="13"/>
  <c r="D50" i="13"/>
  <c r="B50" i="13"/>
  <c r="D49" i="13"/>
  <c r="B49" i="13"/>
  <c r="B2" i="4"/>
  <c r="B3" i="4"/>
  <c r="B2" i="3"/>
  <c r="B3" i="3"/>
  <c r="B2" i="2"/>
  <c r="B3" i="2"/>
  <c r="B2" i="1"/>
  <c r="B3" i="1"/>
  <c r="F52" i="13" l="1"/>
  <c r="F54" i="13"/>
  <c r="F53" i="13"/>
  <c r="F51" i="13"/>
  <c r="F50" i="13"/>
  <c r="F49" i="13"/>
  <c r="C13" i="13"/>
  <c r="C12" i="13"/>
  <c r="C11" i="13"/>
  <c r="C16" i="13" l="1"/>
  <c r="C17" i="13"/>
  <c r="B5" i="4" l="1"/>
  <c r="B4" i="4"/>
  <c r="B5" i="3"/>
  <c r="B4" i="3"/>
  <c r="B5" i="2"/>
  <c r="B4" i="2"/>
  <c r="B5" i="1"/>
  <c r="B4" i="1"/>
  <c r="C15" i="13" l="1"/>
  <c r="F12" i="13" l="1"/>
  <c r="C15" i="4"/>
  <c r="F11" i="13" s="1"/>
  <c r="F13" i="13" l="1"/>
  <c r="B64" i="1"/>
  <c r="B17" i="13" s="1"/>
  <c r="B56" i="1"/>
  <c r="B16" i="13" s="1"/>
  <c r="B22" i="1"/>
  <c r="B15" i="13" s="1"/>
  <c r="B16" i="3" l="1"/>
  <c r="B13" i="13" s="1"/>
  <c r="B15" i="2"/>
  <c r="B12" i="13" s="1"/>
  <c r="B11" i="13" l="1"/>
  <c r="B66"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5" authorId="0">
      <text>
        <r>
          <rPr>
            <sz val="9"/>
            <color indexed="81"/>
            <rFont val="Tahoma"/>
            <family val="2"/>
          </rPr>
          <t xml:space="preserve">
Insert additional rows as needed:
- 'right click' on a row number (left of screen)
- select 'Insert' (this will insert a row above it)
</t>
        </r>
      </text>
    </comment>
    <comment ref="A59"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<sst xmlns="http://schemas.openxmlformats.org/spreadsheetml/2006/main" count="217" uniqueCount="145">
  <si>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</si>
  <si>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</si>
  <si>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</si>
  <si>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</si>
  <si>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</si>
  <si>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</si>
  <si>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</si>
  <si>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</si>
  <si>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</si>
  <si>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</si>
  <si>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</si>
  <si>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</si>
  <si>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</si>
  <si>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</si>
  <si>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</si>
  <si>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</si>
  <si>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</si>
  <si>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</si>
  <si>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</si>
  <si>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</si>
  <si>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</si>
  <si>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</si>
  <si>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</si>
  <si>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</si>
  <si>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</si>
  <si>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</si>
  <si>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</si>
  <si>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</si>
  <si>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</si>
  <si>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</si>
  <si>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</si>
  <si>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</si>
  <si>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</si>
  <si>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</si>
  <si>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</si>
  <si>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</si>
  <si>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</si>
  <si>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</si>
  <si>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</si>
  <si>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</si>
  <si>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</si>
  <si>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</si>
  <si>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</si>
  <si>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</si>
  <si>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</si>
  <si>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</si>
  <si>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</si>
  <si>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</si>
  <si>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</si>
  <si>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</si>
  <si>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</si>
  <si>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</si>
  <si>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</si>
  <si>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</si>
  <si>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</si>
  <si>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</si>
  <si>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</si>
  <si>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</si>
  <si>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</si>
  <si>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</si>
  <si>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</si>
  <si>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</si>
  <si>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</si>
  <si>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</si>
  <si>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</si>
  <si>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</si>
  <si>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</si>
  <si>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</si>
  <si>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</si>
  <si>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</si>
  <si>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</si>
  <si>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</si>
  <si>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</si>
  <si>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</si>
  <si>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</si>
  <si>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</si>
  <si>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</si>
  <si>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</si>
  <si>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</si>
  <si>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</si>
  <si>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</si>
  <si>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</si>
  <si>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</si>
  <si>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</si>
  <si>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</si>
  <si>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</si>
  <si>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</si>
  <si>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</si>
  <si>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</si>
  <si>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</si>
  <si>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</si>
  <si>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</si>
  <si>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</si>
  <si>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</si>
  <si>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</si>
  <si>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</si>
  <si>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</si>
  <si>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</si>
  <si>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</si>
  <si>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Ray Smith</t>
  </si>
  <si>
    <t>Corrections Services Ministers' Conference</t>
  </si>
  <si>
    <t>Flights</t>
  </si>
  <si>
    <t>Perth, Australia</t>
  </si>
  <si>
    <t>06/08/18 - 08/08/18</t>
  </si>
  <si>
    <t>Accommodation</t>
  </si>
  <si>
    <t>Taxis</t>
  </si>
  <si>
    <t>Executive Learning Group</t>
  </si>
  <si>
    <t>15/08/18 - 18/08/18</t>
  </si>
  <si>
    <t>Meals</t>
  </si>
  <si>
    <t>Brisbane, Australia</t>
  </si>
  <si>
    <t>12/07/18 - 13/07/18</t>
  </si>
  <si>
    <t>Car Rental</t>
  </si>
  <si>
    <t>Auckland</t>
  </si>
  <si>
    <t>Parking at Wellington Airport</t>
  </si>
  <si>
    <t>Christchurch</t>
  </si>
  <si>
    <t>Public Sector Mental Health Conference</t>
  </si>
  <si>
    <t>Wellington</t>
  </si>
  <si>
    <t>29/08/18 - 31/08/18</t>
  </si>
  <si>
    <t>Waikato Region</t>
  </si>
  <si>
    <t>Mileage</t>
  </si>
  <si>
    <t>Palmerston North</t>
  </si>
  <si>
    <t>July &amp; August 2018</t>
  </si>
  <si>
    <t>N/A</t>
  </si>
  <si>
    <t>05/08/18 - 07/08/18</t>
  </si>
  <si>
    <t>Various</t>
  </si>
  <si>
    <t>Nelson/Blenheim</t>
  </si>
  <si>
    <t>September 2018</t>
  </si>
  <si>
    <t>Taxi</t>
  </si>
  <si>
    <t>Phone Bill</t>
  </si>
  <si>
    <t>Invercargill/Christchurch</t>
  </si>
  <si>
    <t>Napier</t>
  </si>
  <si>
    <t>Visit to Community Corrections site</t>
  </si>
  <si>
    <t>Parking at venue</t>
  </si>
  <si>
    <t>Manawatu Region Sites Visit</t>
  </si>
  <si>
    <t>Opening of Auckland Prison Wing &amp; Site Visits</t>
  </si>
  <si>
    <t>Visit to Canterbury Regional Sites</t>
  </si>
  <si>
    <t>Speaking at Corrections Association NZ (CANZ) Union Conference</t>
  </si>
  <si>
    <t>Opening of Huntly Community Corrections &amp; Visit to Waikato Regional Sites</t>
  </si>
  <si>
    <t>Visit to Canterbury &amp; Southland Regional sites</t>
  </si>
  <si>
    <t>Visit to Nelson &amp; Marlborough Regional sites</t>
  </si>
  <si>
    <t>Visit to Hawkes Bay Regional sites</t>
  </si>
  <si>
    <t>July - September usage</t>
  </si>
  <si>
    <t>Parking at Wellington Airport (2 days parking as flight delayed)</t>
  </si>
  <si>
    <t>No information to disclose</t>
  </si>
  <si>
    <t>Approved by Audit &amp; Risk Committee Chair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</si>
</sst>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2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s>
  <cellStyleXfs count="2">
    <xf numFmtId="0" fontId="0" fillId="0" borderId="0"/>
    <xf numFmtId="165" fontId="19" fillId="0" borderId="0" applyFont="0" applyFill="0" applyBorder="0" applyAlignment="0" applyProtection="0"/>
  </cellStyleXfs>
  <cellXfs count="17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protection locked="0"/>
    </xf>
    <xf numFmtId="164" fontId="11" fillId="9" borderId="14" xfId="0" applyNumberFormat="1" applyFont="1" applyFill="1" applyBorder="1" applyAlignment="1" applyProtection="1">
      <alignment vertical="center" wrapText="1"/>
      <protection locked="0"/>
    </xf>
    <xf numFmtId="0" fontId="11" fillId="9" borderId="14" xfId="0" applyFont="1" applyFill="1" applyBorder="1" applyAlignment="1" applyProtection="1">
      <alignment vertical="center" wrapText="1"/>
      <protection locked="0"/>
    </xf>
    <xf numFmtId="0" fontId="11" fillId="9" borderId="15" xfId="0" applyFont="1" applyFill="1" applyBorder="1" applyAlignment="1" applyProtection="1">
      <alignment vertical="center" wrapText="1"/>
      <protection locked="0"/>
    </xf>
    <xf numFmtId="0" fontId="11" fillId="9" borderId="4"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167" fontId="11" fillId="9" borderId="10" xfId="0" applyNumberFormat="1"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wrapText="1"/>
      <protection locked="0"/>
    </xf>
    <xf numFmtId="0" fontId="11" fillId="9" borderId="11" xfId="0" applyFont="1" applyFill="1" applyBorder="1" applyAlignment="1" applyProtection="1">
      <alignment horizontal="center" vertical="center" wrapText="1"/>
      <protection locked="0"/>
    </xf>
    <xf numFmtId="14" fontId="11" fillId="9" borderId="4" xfId="0" applyNumberFormat="1" applyFont="1" applyFill="1" applyBorder="1" applyAlignment="1" applyProtection="1">
      <alignment horizontal="center" vertical="center" wrapText="1"/>
      <protection locked="0"/>
    </xf>
    <xf numFmtId="14" fontId="11" fillId="9" borderId="14" xfId="0" applyNumberFormat="1" applyFont="1" applyFill="1" applyBorder="1" applyAlignment="1" applyProtection="1">
      <alignment horizontal="center" vertical="center" wrapText="1"/>
      <protection locked="0"/>
    </xf>
    <xf numFmtId="167" fontId="11" fillId="9" borderId="16" xfId="0" applyNumberFormat="1" applyFont="1" applyFill="1" applyBorder="1" applyAlignment="1" applyProtection="1">
      <alignment vertical="center"/>
      <protection locked="0"/>
    </xf>
    <xf numFmtId="164" fontId="11" fillId="9" borderId="17" xfId="0" applyNumberFormat="1" applyFont="1" applyFill="1" applyBorder="1" applyAlignment="1" applyProtection="1">
      <alignment vertical="center" wrapText="1"/>
      <protection locked="0"/>
    </xf>
    <xf numFmtId="0" fontId="11" fillId="9"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vertical="center" wrapText="1"/>
      <protection locked="0"/>
    </xf>
    <xf numFmtId="0" fontId="11" fillId="9" borderId="18" xfId="0" applyFont="1" applyFill="1" applyBorder="1" applyAlignment="1" applyProtection="1">
      <alignment vertical="center" wrapText="1"/>
      <protection locked="0"/>
    </xf>
    <xf numFmtId="14" fontId="11" fillId="9" borderId="11" xfId="0" applyNumberFormat="1" applyFont="1" applyFill="1" applyBorder="1" applyAlignment="1" applyProtection="1">
      <alignment horizontal="center" vertical="center" wrapText="1"/>
      <protection locked="0"/>
    </xf>
    <xf numFmtId="17" fontId="11" fillId="9" borderId="17" xfId="0" quotePrefix="1" applyNumberFormat="1" applyFont="1" applyFill="1" applyBorder="1" applyAlignment="1" applyProtection="1">
      <alignment vertical="center" wrapText="1"/>
      <protection locked="0"/>
    </xf>
    <xf numFmtId="168" fontId="0" fillId="0" borderId="0" xfId="0" applyNumberFormat="1" applyAlignment="1" applyProtection="1">
      <alignment wrapText="1"/>
      <protection locked="0"/>
    </xf>
    <xf numFmtId="2" fontId="0" fillId="9" borderId="4" xfId="0" applyNumberFormat="1" applyFont="1" applyFill="1" applyBorder="1" applyAlignment="1" applyProtection="1">
      <alignment vertical="center" wrapText="1"/>
      <protection locked="0"/>
    </xf>
    <xf numFmtId="167" fontId="11" fillId="9" borderId="19" xfId="0" applyNumberFormat="1" applyFont="1" applyFill="1" applyBorder="1" applyAlignment="1" applyProtection="1">
      <alignment vertical="center"/>
      <protection locked="0"/>
    </xf>
    <xf numFmtId="164" fontId="11" fillId="9" borderId="20" xfId="0" applyNumberFormat="1" applyFont="1" applyFill="1" applyBorder="1" applyAlignment="1" applyProtection="1">
      <alignment vertical="center" wrapText="1"/>
      <protection locked="0"/>
    </xf>
    <xf numFmtId="0" fontId="11" fillId="9" borderId="20" xfId="0" applyFont="1" applyFill="1" applyBorder="1" applyAlignment="1" applyProtection="1">
      <alignment horizontal="center" vertical="center" wrapText="1"/>
      <protection locked="0"/>
    </xf>
    <xf numFmtId="0" fontId="11" fillId="9" borderId="20" xfId="0" applyFont="1" applyFill="1" applyBorder="1" applyAlignment="1" applyProtection="1">
      <alignment vertical="center" wrapText="1"/>
      <protection locked="0"/>
    </xf>
    <xf numFmtId="0" fontId="11" fillId="9" borderId="21" xfId="0" applyFont="1" applyFill="1" applyBorder="1" applyAlignment="1" applyProtection="1">
      <alignment vertical="center" wrapText="1"/>
      <protection locked="0"/>
    </xf>
    <xf numFmtId="168" fontId="0" fillId="0" borderId="0" xfId="0" applyNumberFormat="1" applyBorder="1" applyAlignment="1" applyProtection="1">
      <alignment wrapText="1"/>
      <protection locked="0"/>
    </xf>
    <xf numFmtId="0" fontId="0" fillId="0" borderId="0" xfId="0" applyBorder="1" applyProtection="1">
      <protection locked="0"/>
    </xf>
    <xf numFmtId="0" fontId="0" fillId="0" borderId="0" xfId="0" applyBorder="1" applyAlignment="1" applyProtection="1">
      <alignment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5" t="s">
        <v>53</v>
      </c>
      <c r="B1" s="155"/>
      <c r="C1" s="155"/>
      <c r="D1" s="155"/>
      <c r="E1" s="155"/>
      <c r="F1" s="155"/>
      <c r="G1" s="38"/>
      <c r="H1" s="38"/>
      <c r="I1" s="38"/>
      <c r="J1" s="38"/>
      <c r="K1" s="38"/>
    </row>
    <row r="2" spans="1:11" ht="21" customHeight="1" x14ac:dyDescent="0.2">
      <c r="A2" s="4" t="s">
        <v>2</v>
      </c>
      <c r="B2" s="156" t="s">
        <v>98</v>
      </c>
      <c r="C2" s="156"/>
      <c r="D2" s="156"/>
      <c r="E2" s="156"/>
      <c r="F2" s="156"/>
      <c r="G2" s="38"/>
      <c r="H2" s="38"/>
      <c r="I2" s="38"/>
      <c r="J2" s="38"/>
      <c r="K2" s="38"/>
    </row>
    <row r="3" spans="1:11" ht="21" customHeight="1" x14ac:dyDescent="0.2">
      <c r="A3" s="4" t="s">
        <v>54</v>
      </c>
      <c r="B3" s="156" t="s">
        <v>99</v>
      </c>
      <c r="C3" s="156"/>
      <c r="D3" s="156"/>
      <c r="E3" s="156"/>
      <c r="F3" s="156"/>
      <c r="G3" s="38"/>
      <c r="H3" s="38"/>
      <c r="I3" s="38"/>
      <c r="J3" s="38"/>
      <c r="K3" s="38"/>
    </row>
    <row r="4" spans="1:11" ht="21" customHeight="1" x14ac:dyDescent="0.2">
      <c r="A4" s="4" t="s">
        <v>39</v>
      </c>
      <c r="B4" s="157">
        <v>43282</v>
      </c>
      <c r="C4" s="157"/>
      <c r="D4" s="157"/>
      <c r="E4" s="157"/>
      <c r="F4" s="157"/>
      <c r="G4" s="38"/>
      <c r="H4" s="38"/>
      <c r="I4" s="38"/>
      <c r="J4" s="38"/>
      <c r="K4" s="38"/>
    </row>
    <row r="5" spans="1:11" ht="21" customHeight="1" x14ac:dyDescent="0.2">
      <c r="A5" s="4" t="s">
        <v>40</v>
      </c>
      <c r="B5" s="157">
        <v>43371</v>
      </c>
      <c r="C5" s="157"/>
      <c r="D5" s="157"/>
      <c r="E5" s="157"/>
      <c r="F5" s="157"/>
      <c r="G5" s="38"/>
      <c r="H5" s="38"/>
      <c r="I5" s="38"/>
      <c r="J5" s="38"/>
      <c r="K5" s="38"/>
    </row>
    <row r="6" spans="1:11" ht="21" customHeight="1" x14ac:dyDescent="0.2">
      <c r="A6" s="4" t="s">
        <v>57</v>
      </c>
      <c r="B6" s="154" t="str">
        <f>IF(AND(Travel!B7&lt;&gt;A25,Hospitality!B7&lt;&gt;A25,'All other expenses'!B7&lt;&gt;A25,'Gifts and benefits'!B7&lt;&gt;A25),A26,IF(AND(Travel!B7=A25,Hospitality!B7=A25,'All other expenses'!B7=A25,'Gifts and benefits'!B7=A25),A28,A27))</f>
        <v>Data and totals checked on all sheets</v>
      </c>
      <c r="C6" s="154"/>
      <c r="D6" s="154"/>
      <c r="E6" s="154"/>
      <c r="F6" s="154"/>
      <c r="G6" s="30"/>
      <c r="H6" s="38"/>
      <c r="I6" s="38"/>
      <c r="J6" s="38"/>
      <c r="K6" s="38"/>
    </row>
    <row r="7" spans="1:11" ht="21" customHeight="1" x14ac:dyDescent="0.2">
      <c r="A7" s="4" t="s">
        <v>73</v>
      </c>
      <c r="B7" s="153" t="s">
        <v>30</v>
      </c>
      <c r="C7" s="153"/>
      <c r="D7" s="153"/>
      <c r="E7" s="153"/>
      <c r="F7" s="153"/>
      <c r="G7" s="30"/>
      <c r="H7" s="38"/>
      <c r="I7" s="38"/>
      <c r="J7" s="38"/>
      <c r="K7" s="38"/>
    </row>
    <row r="8" spans="1:11" ht="21" customHeight="1" x14ac:dyDescent="0.2">
      <c r="A8" s="4" t="s">
        <v>55</v>
      </c>
      <c r="B8" s="153" t="s">
        <v>144</v>
      </c>
      <c r="C8" s="153"/>
      <c r="D8" s="153"/>
      <c r="E8" s="153"/>
      <c r="F8" s="153"/>
      <c r="G8" s="30"/>
      <c r="H8" s="38"/>
      <c r="I8" s="38"/>
      <c r="J8" s="38"/>
      <c r="K8" s="38"/>
    </row>
    <row r="9" spans="1:11" ht="66.75" customHeight="1" x14ac:dyDescent="0.2">
      <c r="A9" s="152"/>
      <c r="B9" s="152"/>
      <c r="C9" s="152"/>
      <c r="D9" s="152"/>
      <c r="E9" s="152"/>
      <c r="F9" s="152"/>
      <c r="G9" s="30"/>
      <c r="H9" s="38"/>
      <c r="I9" s="38"/>
      <c r="J9" s="38"/>
      <c r="K9" s="38"/>
    </row>
    <row r="10" spans="1:11" s="119" customFormat="1" ht="36" customHeight="1" x14ac:dyDescent="0.2">
      <c r="A10" s="113" t="s">
        <v>26</v>
      </c>
      <c r="B10" s="114" t="s">
        <v>10</v>
      </c>
      <c r="C10" s="114" t="s">
        <v>32</v>
      </c>
      <c r="D10" s="115"/>
      <c r="E10" s="116" t="s">
        <v>25</v>
      </c>
      <c r="F10" s="117" t="s">
        <v>34</v>
      </c>
      <c r="G10" s="118"/>
      <c r="H10" s="118"/>
      <c r="I10" s="118"/>
      <c r="J10" s="118"/>
      <c r="K10" s="118"/>
    </row>
    <row r="11" spans="1:11" ht="27.75" customHeight="1" x14ac:dyDescent="0.2">
      <c r="A11" s="11" t="s">
        <v>43</v>
      </c>
      <c r="B11" s="67">
        <f>B15+B16+B17</f>
        <v>10817.339999999998</v>
      </c>
      <c r="C11" s="74" t="str">
        <f>IF(Travel!B6="",A29,Travel!B6)</f>
        <v>Figures exclude GST</v>
      </c>
      <c r="D11" s="8"/>
      <c r="E11" s="11" t="s">
        <v>50</v>
      </c>
      <c r="F11" s="45">
        <f>'Gifts and benefits'!C15</f>
        <v>0</v>
      </c>
      <c r="G11" s="39"/>
      <c r="H11" s="39"/>
      <c r="I11" s="39"/>
      <c r="J11" s="39"/>
      <c r="K11" s="39"/>
    </row>
    <row r="12" spans="1:11" ht="27.75" customHeight="1" x14ac:dyDescent="0.2">
      <c r="A12" s="11" t="s">
        <v>6</v>
      </c>
      <c r="B12" s="67">
        <f>Hospitality!B15</f>
        <v>0</v>
      </c>
      <c r="C12" s="74" t="str">
        <f>IF(Hospitality!B6="",A29,Hospitality!B6)</f>
        <v>Not yet indicated</v>
      </c>
      <c r="D12" s="8"/>
      <c r="E12" s="11" t="s">
        <v>51</v>
      </c>
      <c r="F12" s="45">
        <f>'Gifts and benefits'!C16</f>
        <v>0</v>
      </c>
      <c r="G12" s="39"/>
      <c r="H12" s="39"/>
      <c r="I12" s="39"/>
      <c r="J12" s="39"/>
      <c r="K12" s="39"/>
    </row>
    <row r="13" spans="1:11" ht="27.75" customHeight="1" x14ac:dyDescent="0.2">
      <c r="A13" s="11" t="s">
        <v>9</v>
      </c>
      <c r="B13" s="67">
        <f>'All other expenses'!B16</f>
        <v>126.04</v>
      </c>
      <c r="C13" s="74" t="str">
        <f>IF('All other expenses'!B6="",A29,'All other expenses'!B6)</f>
        <v>Figures include GST (where applicable)</v>
      </c>
      <c r="D13" s="8"/>
      <c r="E13" s="11" t="s">
        <v>52</v>
      </c>
      <c r="F13" s="45">
        <f>'Gifts and benefits'!C17</f>
        <v>0</v>
      </c>
      <c r="G13" s="38"/>
      <c r="H13" s="38"/>
      <c r="I13" s="38"/>
      <c r="J13" s="38"/>
      <c r="K13" s="38"/>
    </row>
    <row r="14" spans="1:11" ht="12.75" customHeight="1" x14ac:dyDescent="0.2">
      <c r="A14" s="10"/>
      <c r="B14" s="68"/>
      <c r="C14" s="75"/>
      <c r="D14" s="46"/>
      <c r="E14" s="8"/>
      <c r="F14" s="47"/>
      <c r="G14" s="27"/>
      <c r="H14" s="27"/>
      <c r="I14" s="27"/>
      <c r="J14" s="27"/>
      <c r="K14" s="27"/>
    </row>
    <row r="15" spans="1:11" ht="27.75" customHeight="1" x14ac:dyDescent="0.2">
      <c r="A15" s="12" t="s">
        <v>23</v>
      </c>
      <c r="B15" s="69">
        <f>Travel!B22</f>
        <v>5025.8399999999992</v>
      </c>
      <c r="C15" s="76" t="str">
        <f>C11</f>
        <v>Figures exclude GST</v>
      </c>
      <c r="D15" s="8"/>
      <c r="E15" s="8"/>
      <c r="F15" s="47"/>
      <c r="G15" s="38"/>
      <c r="H15" s="38"/>
      <c r="I15" s="38"/>
      <c r="J15" s="38"/>
      <c r="K15" s="38"/>
    </row>
    <row r="16" spans="1:11" ht="27.75" customHeight="1" x14ac:dyDescent="0.2">
      <c r="A16" s="12" t="s">
        <v>47</v>
      </c>
      <c r="B16" s="69">
        <f>Travel!B56</f>
        <v>5761.9299999999994</v>
      </c>
      <c r="C16" s="76" t="str">
        <f>C11</f>
        <v>Figures exclude GST</v>
      </c>
      <c r="D16" s="48"/>
      <c r="E16" s="8"/>
      <c r="F16" s="49"/>
      <c r="G16" s="38"/>
      <c r="H16" s="38"/>
      <c r="I16" s="38"/>
      <c r="J16" s="38"/>
      <c r="K16" s="38"/>
    </row>
    <row r="17" spans="1:11" ht="27.75" customHeight="1" x14ac:dyDescent="0.2">
      <c r="A17" s="12" t="s">
        <v>24</v>
      </c>
      <c r="B17" s="69">
        <f>Travel!B64</f>
        <v>29.57</v>
      </c>
      <c r="C17" s="76" t="str">
        <f>C11</f>
        <v>Figures exclude GST</v>
      </c>
      <c r="D17" s="8"/>
      <c r="E17" s="8"/>
      <c r="F17" s="49"/>
      <c r="G17" s="38"/>
      <c r="H17" s="38"/>
      <c r="I17" s="38"/>
      <c r="J17" s="38"/>
      <c r="K17" s="38"/>
    </row>
    <row r="18" spans="1:11" ht="27.75" customHeight="1" x14ac:dyDescent="0.2">
      <c r="A18" s="28"/>
      <c r="B18" s="24"/>
      <c r="C18" s="28"/>
      <c r="D18" s="7"/>
      <c r="E18" s="7"/>
      <c r="F18" s="50"/>
      <c r="G18" s="51"/>
      <c r="H18" s="51"/>
      <c r="I18" s="51"/>
      <c r="J18" s="51"/>
      <c r="K18" s="51"/>
    </row>
    <row r="19" spans="1:11" x14ac:dyDescent="0.2">
      <c r="A19" s="35"/>
      <c r="B19" s="28"/>
      <c r="C19" s="28"/>
      <c r="D19" s="28"/>
      <c r="E19" s="28"/>
      <c r="F19" s="38"/>
      <c r="G19" s="38"/>
      <c r="H19" s="38"/>
      <c r="I19" s="38"/>
      <c r="J19" s="38"/>
      <c r="K19" s="38"/>
    </row>
    <row r="20" spans="1:11" hidden="1" x14ac:dyDescent="0.2">
      <c r="A20" s="15" t="s">
        <v>81</v>
      </c>
      <c r="B20" s="16"/>
      <c r="C20" s="16"/>
      <c r="D20" s="16"/>
      <c r="E20" s="16"/>
      <c r="F20" s="16"/>
      <c r="G20" s="38"/>
      <c r="H20" s="38"/>
      <c r="I20" s="38"/>
      <c r="J20" s="38"/>
      <c r="K20" s="38"/>
    </row>
    <row r="21" spans="1:11" ht="12.75" hidden="1" customHeight="1" x14ac:dyDescent="0.2">
      <c r="A21" s="14" t="s">
        <v>91</v>
      </c>
      <c r="B21" s="6"/>
      <c r="C21" s="6"/>
      <c r="D21" s="14"/>
      <c r="E21" s="14"/>
      <c r="F21" s="14"/>
      <c r="G21" s="38"/>
      <c r="H21" s="38"/>
      <c r="I21" s="38"/>
      <c r="J21" s="38"/>
      <c r="K21" s="38"/>
    </row>
    <row r="22" spans="1:11" hidden="1" x14ac:dyDescent="0.2">
      <c r="A22" s="13" t="s">
        <v>31</v>
      </c>
      <c r="B22" s="13"/>
      <c r="C22" s="13"/>
      <c r="D22" s="13"/>
      <c r="E22" s="13"/>
      <c r="F22" s="13"/>
      <c r="G22" s="38"/>
      <c r="H22" s="38"/>
      <c r="I22" s="38"/>
      <c r="J22" s="38"/>
      <c r="K22" s="38"/>
    </row>
    <row r="23" spans="1:11" hidden="1" x14ac:dyDescent="0.2">
      <c r="A23" s="13" t="s">
        <v>7</v>
      </c>
      <c r="B23" s="13"/>
      <c r="C23" s="13"/>
      <c r="D23" s="13"/>
      <c r="E23" s="13"/>
      <c r="F23" s="13"/>
      <c r="G23" s="38"/>
      <c r="H23" s="38"/>
      <c r="I23" s="38"/>
      <c r="J23" s="38"/>
      <c r="K23" s="38"/>
    </row>
    <row r="24" spans="1:11" hidden="1" x14ac:dyDescent="0.2">
      <c r="A24" s="14" t="s">
        <v>67</v>
      </c>
      <c r="B24" s="14"/>
      <c r="C24" s="14"/>
      <c r="D24" s="14"/>
      <c r="E24" s="14"/>
      <c r="F24" s="14"/>
      <c r="G24" s="38"/>
      <c r="H24" s="38"/>
      <c r="I24" s="38"/>
      <c r="J24" s="38"/>
      <c r="K24" s="38"/>
    </row>
    <row r="25" spans="1:11" hidden="1" x14ac:dyDescent="0.2">
      <c r="A25" s="14" t="s">
        <v>68</v>
      </c>
      <c r="B25" s="14"/>
      <c r="C25" s="14"/>
      <c r="D25" s="14"/>
      <c r="E25" s="14"/>
      <c r="F25" s="14"/>
      <c r="G25" s="38"/>
      <c r="H25" s="38"/>
      <c r="I25" s="38"/>
      <c r="J25" s="38"/>
      <c r="K25" s="38"/>
    </row>
    <row r="26" spans="1:11" hidden="1" x14ac:dyDescent="0.2">
      <c r="A26" s="13" t="s">
        <v>59</v>
      </c>
      <c r="B26" s="13"/>
      <c r="C26" s="13"/>
      <c r="D26" s="13"/>
      <c r="E26" s="13"/>
      <c r="F26" s="13"/>
      <c r="G26" s="38"/>
      <c r="H26" s="38"/>
      <c r="I26" s="38"/>
      <c r="J26" s="38"/>
      <c r="K26" s="38"/>
    </row>
    <row r="27" spans="1:11" hidden="1" x14ac:dyDescent="0.2">
      <c r="A27" s="13" t="s">
        <v>60</v>
      </c>
      <c r="B27" s="13"/>
      <c r="C27" s="13"/>
      <c r="D27" s="13"/>
      <c r="E27" s="13"/>
      <c r="F27" s="13"/>
      <c r="G27" s="38"/>
      <c r="H27" s="38"/>
      <c r="I27" s="38"/>
      <c r="J27" s="38"/>
      <c r="K27" s="38"/>
    </row>
    <row r="28" spans="1:11" hidden="1" x14ac:dyDescent="0.2">
      <c r="A28" s="13" t="s">
        <v>58</v>
      </c>
      <c r="B28" s="13"/>
      <c r="C28" s="13"/>
      <c r="D28" s="13"/>
      <c r="E28" s="13"/>
      <c r="F28" s="13"/>
      <c r="G28" s="38"/>
      <c r="H28" s="38"/>
      <c r="I28" s="38"/>
      <c r="J28" s="38"/>
      <c r="K28" s="38"/>
    </row>
    <row r="29" spans="1:11" hidden="1" x14ac:dyDescent="0.2">
      <c r="A29" s="14" t="s">
        <v>33</v>
      </c>
      <c r="B29" s="14"/>
      <c r="C29" s="14"/>
      <c r="D29" s="14"/>
      <c r="E29" s="14"/>
      <c r="F29" s="14"/>
      <c r="G29" s="38"/>
      <c r="H29" s="38"/>
      <c r="I29" s="38"/>
      <c r="J29" s="38"/>
      <c r="K29" s="38"/>
    </row>
    <row r="30" spans="1:11" hidden="1" x14ac:dyDescent="0.2">
      <c r="A30" s="14" t="s">
        <v>35</v>
      </c>
      <c r="B30" s="14"/>
      <c r="C30" s="14"/>
      <c r="D30" s="14"/>
      <c r="E30" s="14"/>
      <c r="F30" s="14"/>
      <c r="G30" s="38"/>
      <c r="H30" s="38"/>
      <c r="I30" s="38"/>
      <c r="J30" s="38"/>
      <c r="K30" s="38"/>
    </row>
    <row r="31" spans="1:11" hidden="1" x14ac:dyDescent="0.2">
      <c r="A31" s="72" t="s">
        <v>49</v>
      </c>
      <c r="B31" s="71"/>
      <c r="C31" s="71"/>
      <c r="D31" s="71"/>
      <c r="E31" s="71"/>
      <c r="F31" s="71"/>
      <c r="G31" s="38"/>
      <c r="H31" s="38"/>
      <c r="I31" s="38"/>
      <c r="J31" s="38"/>
      <c r="K31" s="38"/>
    </row>
    <row r="32" spans="1:11" hidden="1" x14ac:dyDescent="0.2">
      <c r="A32" s="72" t="s">
        <v>30</v>
      </c>
      <c r="B32" s="71"/>
      <c r="C32" s="71"/>
      <c r="D32" s="71"/>
      <c r="E32" s="71"/>
      <c r="F32" s="71"/>
      <c r="G32" s="38"/>
      <c r="H32" s="38"/>
      <c r="I32" s="38"/>
      <c r="J32" s="38"/>
      <c r="K32" s="38"/>
    </row>
    <row r="33" spans="1:11" hidden="1" x14ac:dyDescent="0.2">
      <c r="A33" s="52" t="s">
        <v>16</v>
      </c>
      <c r="B33" s="5"/>
      <c r="C33" s="5"/>
      <c r="D33" s="5"/>
      <c r="E33" s="5"/>
      <c r="F33" s="5"/>
      <c r="G33" s="38"/>
      <c r="H33" s="38"/>
      <c r="I33" s="38"/>
      <c r="J33" s="38"/>
      <c r="K33" s="38"/>
    </row>
    <row r="34" spans="1:11" hidden="1" x14ac:dyDescent="0.2">
      <c r="A34" s="53" t="s">
        <v>17</v>
      </c>
      <c r="B34" s="5"/>
      <c r="C34" s="5"/>
      <c r="D34" s="5"/>
      <c r="E34" s="5"/>
      <c r="F34" s="5"/>
      <c r="G34" s="38"/>
      <c r="H34" s="38"/>
      <c r="I34" s="38"/>
      <c r="J34" s="38"/>
      <c r="K34" s="38"/>
    </row>
    <row r="35" spans="1:11" hidden="1" x14ac:dyDescent="0.2">
      <c r="A35" s="53" t="s">
        <v>19</v>
      </c>
      <c r="B35" s="5"/>
      <c r="C35" s="5"/>
      <c r="D35" s="5"/>
      <c r="E35" s="5"/>
      <c r="F35" s="5"/>
      <c r="G35" s="38"/>
      <c r="H35" s="38"/>
      <c r="I35" s="38"/>
      <c r="J35" s="38"/>
      <c r="K35" s="38"/>
    </row>
    <row r="36" spans="1:11" hidden="1" x14ac:dyDescent="0.2">
      <c r="A36" s="53" t="s">
        <v>18</v>
      </c>
      <c r="B36" s="5"/>
      <c r="C36" s="5"/>
      <c r="D36" s="5"/>
      <c r="E36" s="5"/>
      <c r="F36" s="5"/>
      <c r="G36" s="38"/>
      <c r="H36" s="38"/>
      <c r="I36" s="38"/>
      <c r="J36" s="38"/>
      <c r="K36" s="38"/>
    </row>
    <row r="37" spans="1:11" hidden="1" x14ac:dyDescent="0.2">
      <c r="A37" s="53" t="s">
        <v>20</v>
      </c>
      <c r="B37" s="5"/>
      <c r="C37" s="5"/>
      <c r="D37" s="5"/>
      <c r="E37" s="5"/>
      <c r="F37" s="5"/>
      <c r="G37" s="38"/>
      <c r="H37" s="38"/>
      <c r="I37" s="38"/>
      <c r="J37" s="38"/>
      <c r="K37" s="38"/>
    </row>
    <row r="38" spans="1:11" hidden="1" x14ac:dyDescent="0.2">
      <c r="A38" s="53" t="s">
        <v>21</v>
      </c>
      <c r="B38" s="5"/>
      <c r="C38" s="5"/>
      <c r="D38" s="5"/>
      <c r="E38" s="5"/>
      <c r="F38" s="5"/>
      <c r="G38" s="38"/>
      <c r="H38" s="38"/>
      <c r="I38" s="38"/>
      <c r="J38" s="38"/>
      <c r="K38" s="38"/>
    </row>
    <row r="39" spans="1:11" hidden="1" x14ac:dyDescent="0.2">
      <c r="A39" s="73" t="s">
        <v>15</v>
      </c>
      <c r="B39" s="71"/>
      <c r="C39" s="71"/>
      <c r="D39" s="71"/>
      <c r="E39" s="71"/>
      <c r="F39" s="71"/>
      <c r="G39" s="38"/>
      <c r="H39" s="38"/>
      <c r="I39" s="38"/>
      <c r="J39" s="38"/>
      <c r="K39" s="38"/>
    </row>
    <row r="40" spans="1:11" hidden="1" x14ac:dyDescent="0.2">
      <c r="A40" s="71" t="s">
        <v>13</v>
      </c>
      <c r="B40" s="71"/>
      <c r="C40" s="71"/>
      <c r="D40" s="71"/>
      <c r="E40" s="71"/>
      <c r="F40" s="71"/>
      <c r="G40" s="38"/>
      <c r="H40" s="38"/>
      <c r="I40" s="38"/>
      <c r="J40" s="38"/>
      <c r="K40" s="38"/>
    </row>
    <row r="41" spans="1:11" hidden="1" x14ac:dyDescent="0.2">
      <c r="A41" s="54">
        <v>-20000</v>
      </c>
      <c r="B41" s="5"/>
      <c r="C41" s="5"/>
      <c r="D41" s="5"/>
      <c r="E41" s="5"/>
      <c r="F41" s="5"/>
      <c r="G41" s="38"/>
      <c r="H41" s="38"/>
      <c r="I41" s="38"/>
      <c r="J41" s="38"/>
      <c r="K41" s="38"/>
    </row>
    <row r="42" spans="1:11" ht="25.5" hidden="1" x14ac:dyDescent="0.2">
      <c r="A42" s="107" t="s">
        <v>78</v>
      </c>
      <c r="B42" s="71"/>
      <c r="C42" s="71"/>
      <c r="D42" s="71"/>
      <c r="E42" s="71"/>
      <c r="F42" s="71"/>
      <c r="G42" s="38"/>
      <c r="H42" s="38"/>
      <c r="I42" s="38"/>
      <c r="J42" s="38"/>
      <c r="K42" s="38"/>
    </row>
    <row r="43" spans="1:11" ht="25.5" hidden="1" x14ac:dyDescent="0.2">
      <c r="A43" s="107" t="s">
        <v>77</v>
      </c>
      <c r="B43" s="71"/>
      <c r="C43" s="71"/>
      <c r="D43" s="71"/>
      <c r="E43" s="71"/>
      <c r="F43" s="71"/>
      <c r="G43" s="38"/>
      <c r="H43" s="38"/>
      <c r="I43" s="38"/>
      <c r="J43" s="38"/>
      <c r="K43" s="38"/>
    </row>
    <row r="44" spans="1:11" ht="25.5" hidden="1" x14ac:dyDescent="0.2">
      <c r="A44" s="108" t="s">
        <v>79</v>
      </c>
      <c r="B44" s="5"/>
      <c r="C44" s="5"/>
      <c r="D44" s="5"/>
      <c r="E44" s="5"/>
      <c r="F44" s="5"/>
      <c r="G44" s="38"/>
      <c r="H44" s="38"/>
      <c r="I44" s="38"/>
      <c r="J44" s="38"/>
      <c r="K44" s="38"/>
    </row>
    <row r="45" spans="1:11" ht="25.5" hidden="1" x14ac:dyDescent="0.2">
      <c r="A45" s="108" t="s">
        <v>65</v>
      </c>
      <c r="B45" s="5"/>
      <c r="C45" s="5"/>
      <c r="D45" s="5"/>
      <c r="E45" s="5"/>
      <c r="F45" s="5"/>
      <c r="G45" s="38"/>
      <c r="H45" s="38"/>
      <c r="I45" s="38"/>
      <c r="J45" s="38"/>
      <c r="K45" s="38"/>
    </row>
    <row r="46" spans="1:11" ht="38.25" hidden="1" x14ac:dyDescent="0.2">
      <c r="A46" s="108" t="s">
        <v>66</v>
      </c>
      <c r="B46" s="98"/>
      <c r="C46" s="98"/>
      <c r="D46" s="106"/>
      <c r="E46" s="55"/>
      <c r="F46" s="55"/>
      <c r="G46" s="38"/>
      <c r="H46" s="38"/>
      <c r="I46" s="38"/>
      <c r="J46" s="38"/>
      <c r="K46" s="38"/>
    </row>
    <row r="47" spans="1:11" hidden="1" x14ac:dyDescent="0.2">
      <c r="A47" s="103" t="s">
        <v>69</v>
      </c>
      <c r="B47" s="104"/>
      <c r="C47" s="104"/>
      <c r="D47" s="97"/>
      <c r="E47" s="56"/>
      <c r="F47" s="56" t="b">
        <v>1</v>
      </c>
      <c r="G47" s="38"/>
      <c r="H47" s="38"/>
      <c r="I47" s="38"/>
      <c r="J47" s="38"/>
      <c r="K47" s="38"/>
    </row>
    <row r="48" spans="1:11" hidden="1" x14ac:dyDescent="0.2">
      <c r="A48" s="105" t="s">
        <v>80</v>
      </c>
      <c r="B48" s="103"/>
      <c r="C48" s="103"/>
      <c r="D48" s="103"/>
      <c r="E48" s="56"/>
      <c r="F48" s="56" t="b">
        <v>0</v>
      </c>
      <c r="G48" s="38"/>
      <c r="H48" s="38"/>
      <c r="I48" s="38"/>
      <c r="J48" s="38"/>
      <c r="K48" s="38"/>
    </row>
    <row r="49" spans="1:11" hidden="1" x14ac:dyDescent="0.2">
      <c r="A49" s="109"/>
      <c r="B49" s="99">
        <f>COUNT(Travel!B12:B21)</f>
        <v>7</v>
      </c>
      <c r="C49" s="99"/>
      <c r="D49" s="99">
        <f>COUNTIF(Travel!D12:D21,"*")</f>
        <v>7</v>
      </c>
      <c r="E49" s="100"/>
      <c r="F49" s="100" t="b">
        <f>MIN(B49,D49)=MAX(B49,D49)</f>
        <v>1</v>
      </c>
      <c r="G49" s="38"/>
      <c r="H49" s="38"/>
      <c r="I49" s="38"/>
      <c r="J49" s="38"/>
      <c r="K49" s="38"/>
    </row>
    <row r="50" spans="1:11" hidden="1" x14ac:dyDescent="0.2">
      <c r="A50" s="109" t="s">
        <v>64</v>
      </c>
      <c r="B50" s="99">
        <f>COUNT(Travel!B26:B55)</f>
        <v>27</v>
      </c>
      <c r="C50" s="99"/>
      <c r="D50" s="99">
        <f>COUNTIF(Travel!D26:D55,"*")</f>
        <v>27</v>
      </c>
      <c r="E50" s="100"/>
      <c r="F50" s="100" t="b">
        <f>MIN(B50,D50)=MAX(B50,D50)</f>
        <v>1</v>
      </c>
    </row>
    <row r="51" spans="1:11" hidden="1" x14ac:dyDescent="0.2">
      <c r="A51" s="110"/>
      <c r="B51" s="99">
        <f>COUNT(Travel!B60:B63)</f>
        <v>1</v>
      </c>
      <c r="C51" s="99"/>
      <c r="D51" s="99">
        <f>COUNTIF(Travel!D60:D63,"*")</f>
        <v>1</v>
      </c>
      <c r="E51" s="100"/>
      <c r="F51" s="100" t="b">
        <f>MIN(B51,D51)=MAX(B51,D51)</f>
        <v>1</v>
      </c>
    </row>
    <row r="52" spans="1:11" hidden="1" x14ac:dyDescent="0.2">
      <c r="A52" s="111" t="s">
        <v>62</v>
      </c>
      <c r="B52" s="101">
        <f>COUNT(Hospitality!B11:B14)</f>
        <v>0</v>
      </c>
      <c r="C52" s="101"/>
      <c r="D52" s="101">
        <f>COUNTIF(Hospitality!D11:D14,"*")</f>
        <v>0</v>
      </c>
      <c r="E52" s="102"/>
      <c r="F52" s="102" t="b">
        <f>MIN(B52,D52)=MAX(B52,D52)</f>
        <v>1</v>
      </c>
    </row>
    <row r="53" spans="1:11" hidden="1" x14ac:dyDescent="0.2">
      <c r="A53" s="112" t="s">
        <v>63</v>
      </c>
      <c r="B53" s="100">
        <f>COUNT('All other expenses'!B11:B15)</f>
        <v>1</v>
      </c>
      <c r="C53" s="100"/>
      <c r="D53" s="100">
        <f>COUNTIF('All other expenses'!D11:D15,"*")</f>
        <v>1</v>
      </c>
      <c r="E53" s="100"/>
      <c r="F53" s="100" t="b">
        <f>MIN(B53,D53)=MAX(B53,D53)</f>
        <v>1</v>
      </c>
    </row>
    <row r="54" spans="1:11" hidden="1" x14ac:dyDescent="0.2">
      <c r="A54" s="111" t="s">
        <v>61</v>
      </c>
      <c r="B54" s="101">
        <f>COUNTIF('Gifts and benefits'!B11:B14,"*")</f>
        <v>1</v>
      </c>
      <c r="C54" s="101">
        <f>COUNTIF('Gifts and benefits'!C11:C14,"*")</f>
        <v>0</v>
      </c>
      <c r="D54" s="101"/>
      <c r="E54" s="101">
        <f>COUNTA('Gifts and benefits'!E11:E14)</f>
        <v>0</v>
      </c>
      <c r="F54" s="102" t="b">
        <f>MIN(B54,C54,E54)=MAX(B54,C54,E54)</f>
        <v>0</v>
      </c>
    </row>
    <row r="55" spans="1:11" x14ac:dyDescent="0.2"/>
    <row r="56" spans="1:11" hidden="1" x14ac:dyDescent="0.2"/>
    <row r="57" spans="1:11" hidden="1" x14ac:dyDescent="0.2"/>
    <row r="58" spans="1:11" hidden="1" x14ac:dyDescent="0.2"/>
    <row r="59" spans="1:11" hidden="1" x14ac:dyDescent="0.2"/>
    <row r="60" spans="1:11" hidden="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5"/>
  <sheetViews>
    <sheetView zoomScaleNormal="100" workbookViewId="0">
      <selection activeCell="D64" sqref="D64:E6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5" t="s">
        <v>5</v>
      </c>
      <c r="B1" s="155"/>
      <c r="C1" s="155"/>
      <c r="D1" s="155"/>
      <c r="E1" s="155"/>
      <c r="F1" s="38"/>
    </row>
    <row r="2" spans="1:6" ht="21" customHeight="1" x14ac:dyDescent="0.2">
      <c r="A2" s="4" t="s">
        <v>2</v>
      </c>
      <c r="B2" s="158" t="str">
        <f>'Summary and sign-off'!B2:F2</f>
        <v>Department of Corrections</v>
      </c>
      <c r="C2" s="158"/>
      <c r="D2" s="158"/>
      <c r="E2" s="158"/>
      <c r="F2" s="38"/>
    </row>
    <row r="3" spans="1:6" ht="21" customHeight="1" x14ac:dyDescent="0.2">
      <c r="A3" s="4" t="s">
        <v>3</v>
      </c>
      <c r="B3" s="158" t="str">
        <f>'Summary and sign-off'!B3:F3</f>
        <v>Ray Smith</v>
      </c>
      <c r="C3" s="158"/>
      <c r="D3" s="158"/>
      <c r="E3" s="158"/>
      <c r="F3" s="38"/>
    </row>
    <row r="4" spans="1:6" ht="21" customHeight="1" x14ac:dyDescent="0.2">
      <c r="A4" s="4" t="s">
        <v>37</v>
      </c>
      <c r="B4" s="158">
        <f>'Summary and sign-off'!B4:F4</f>
        <v>43282</v>
      </c>
      <c r="C4" s="158"/>
      <c r="D4" s="158"/>
      <c r="E4" s="158"/>
      <c r="F4" s="38"/>
    </row>
    <row r="5" spans="1:6" ht="21" customHeight="1" x14ac:dyDescent="0.2">
      <c r="A5" s="4" t="s">
        <v>38</v>
      </c>
      <c r="B5" s="158">
        <f>'Summary and sign-off'!B5:F5</f>
        <v>43371</v>
      </c>
      <c r="C5" s="158"/>
      <c r="D5" s="158"/>
      <c r="E5" s="158"/>
      <c r="F5" s="38"/>
    </row>
    <row r="6" spans="1:6" ht="21" customHeight="1" x14ac:dyDescent="0.2">
      <c r="A6" s="4" t="s">
        <v>8</v>
      </c>
      <c r="B6" s="153" t="s">
        <v>7</v>
      </c>
      <c r="C6" s="153"/>
      <c r="D6" s="153"/>
      <c r="E6" s="153"/>
      <c r="F6" s="38"/>
    </row>
    <row r="7" spans="1:6" ht="21" customHeight="1" x14ac:dyDescent="0.2">
      <c r="A7" s="4" t="s">
        <v>57</v>
      </c>
      <c r="B7" s="153" t="s">
        <v>68</v>
      </c>
      <c r="C7" s="153"/>
      <c r="D7" s="153"/>
      <c r="E7" s="153"/>
      <c r="F7" s="38"/>
    </row>
    <row r="8" spans="1:6" ht="36" customHeight="1" x14ac:dyDescent="0.2">
      <c r="A8" s="161" t="s">
        <v>4</v>
      </c>
      <c r="B8" s="162"/>
      <c r="C8" s="162"/>
      <c r="D8" s="162"/>
      <c r="E8" s="162"/>
      <c r="F8" s="24"/>
    </row>
    <row r="9" spans="1:6" ht="36" customHeight="1" x14ac:dyDescent="0.2">
      <c r="A9" s="163" t="s">
        <v>82</v>
      </c>
      <c r="B9" s="164"/>
      <c r="C9" s="164"/>
      <c r="D9" s="164"/>
      <c r="E9" s="164"/>
      <c r="F9" s="24"/>
    </row>
    <row r="10" spans="1:6" ht="24.75" customHeight="1" x14ac:dyDescent="0.2">
      <c r="A10" s="160" t="s">
        <v>83</v>
      </c>
      <c r="B10" s="165"/>
      <c r="C10" s="160"/>
      <c r="D10" s="160"/>
      <c r="E10" s="160"/>
      <c r="F10" s="39"/>
    </row>
    <row r="11" spans="1:6" ht="27" customHeight="1" x14ac:dyDescent="0.2">
      <c r="A11" s="31" t="s">
        <v>27</v>
      </c>
      <c r="B11" s="31" t="s">
        <v>84</v>
      </c>
      <c r="C11" s="31" t="s">
        <v>85</v>
      </c>
      <c r="D11" s="31" t="s">
        <v>56</v>
      </c>
      <c r="E11" s="31" t="s">
        <v>36</v>
      </c>
      <c r="F11" s="40"/>
    </row>
    <row r="12" spans="1:6" s="57" customFormat="1" hidden="1" x14ac:dyDescent="0.2">
      <c r="A12" s="81"/>
      <c r="B12" s="78"/>
      <c r="C12" s="79"/>
      <c r="D12" s="79"/>
      <c r="E12" s="80"/>
      <c r="F12" s="1"/>
    </row>
    <row r="13" spans="1:6" s="57" customFormat="1" x14ac:dyDescent="0.2">
      <c r="A13" s="81">
        <v>43318</v>
      </c>
      <c r="B13" s="78">
        <f>2662.79</f>
        <v>2662.79</v>
      </c>
      <c r="C13" s="128" t="s">
        <v>100</v>
      </c>
      <c r="D13" s="79" t="s">
        <v>101</v>
      </c>
      <c r="E13" s="80" t="s">
        <v>102</v>
      </c>
      <c r="F13" s="1"/>
    </row>
    <row r="14" spans="1:6" s="57" customFormat="1" x14ac:dyDescent="0.2">
      <c r="A14" s="81"/>
      <c r="B14" s="78">
        <f>396.45</f>
        <v>396.45</v>
      </c>
      <c r="C14" s="128" t="s">
        <v>103</v>
      </c>
      <c r="D14" s="79" t="s">
        <v>104</v>
      </c>
      <c r="E14" s="80"/>
      <c r="F14" s="1"/>
    </row>
    <row r="15" spans="1:6" s="57" customFormat="1" x14ac:dyDescent="0.2">
      <c r="A15" s="124"/>
      <c r="B15" s="125">
        <f>152.12+131.23+43.13+47.83</f>
        <v>374.31</v>
      </c>
      <c r="C15" s="129"/>
      <c r="D15" s="126" t="s">
        <v>105</v>
      </c>
      <c r="E15" s="127"/>
      <c r="F15" s="1"/>
    </row>
    <row r="16" spans="1:6" s="57" customFormat="1" x14ac:dyDescent="0.2">
      <c r="A16" s="120">
        <v>43327</v>
      </c>
      <c r="B16" s="121">
        <f>682.68</f>
        <v>682.68</v>
      </c>
      <c r="C16" s="132" t="s">
        <v>106</v>
      </c>
      <c r="D16" s="122" t="s">
        <v>101</v>
      </c>
      <c r="E16" s="123" t="s">
        <v>109</v>
      </c>
      <c r="F16" s="1"/>
    </row>
    <row r="17" spans="1:6" s="57" customFormat="1" x14ac:dyDescent="0.2">
      <c r="A17" s="81"/>
      <c r="B17" s="78">
        <f>591.8</f>
        <v>591.79999999999995</v>
      </c>
      <c r="C17" s="128" t="s">
        <v>107</v>
      </c>
      <c r="D17" s="79" t="s">
        <v>104</v>
      </c>
      <c r="E17" s="80"/>
      <c r="F17" s="1"/>
    </row>
    <row r="18" spans="1:6" s="57" customFormat="1" ht="12.75" customHeight="1" x14ac:dyDescent="0.2">
      <c r="A18" s="81"/>
      <c r="B18" s="78">
        <f>(60.62+58.33+38.4+24.52+31.91)</f>
        <v>213.78</v>
      </c>
      <c r="C18" s="128"/>
      <c r="D18" s="79" t="s">
        <v>105</v>
      </c>
      <c r="E18" s="80"/>
      <c r="F18" s="1"/>
    </row>
    <row r="19" spans="1:6" s="57" customFormat="1" x14ac:dyDescent="0.2">
      <c r="A19" s="131"/>
      <c r="B19" s="125">
        <v>104.03</v>
      </c>
      <c r="C19" s="129"/>
      <c r="D19" s="126" t="s">
        <v>108</v>
      </c>
      <c r="E19" s="127"/>
      <c r="F19" s="1"/>
    </row>
    <row r="20" spans="1:6" s="57" customFormat="1" x14ac:dyDescent="0.2">
      <c r="A20" s="130"/>
      <c r="B20" s="121"/>
      <c r="C20" s="122"/>
      <c r="D20" s="122"/>
      <c r="E20" s="123"/>
      <c r="F20" s="1"/>
    </row>
    <row r="21" spans="1:6" s="57" customFormat="1" hidden="1" x14ac:dyDescent="0.2">
      <c r="A21" s="89"/>
      <c r="B21" s="90"/>
      <c r="C21" s="91"/>
      <c r="D21" s="91"/>
      <c r="E21" s="92"/>
      <c r="F21" s="1"/>
    </row>
    <row r="22" spans="1:6" ht="19.5" customHeight="1" x14ac:dyDescent="0.2">
      <c r="A22" s="93" t="s">
        <v>89</v>
      </c>
      <c r="B22" s="94">
        <f>SUM(B12:B21)</f>
        <v>5025.8399999999992</v>
      </c>
      <c r="C22" s="95"/>
      <c r="D22" s="159"/>
      <c r="E22" s="159"/>
      <c r="F22" s="38"/>
    </row>
    <row r="23" spans="1:6" ht="10.5" customHeight="1" x14ac:dyDescent="0.2">
      <c r="A23" s="28"/>
      <c r="B23" s="24"/>
      <c r="C23" s="28"/>
      <c r="D23" s="28"/>
      <c r="E23" s="28"/>
      <c r="F23" s="28"/>
    </row>
    <row r="24" spans="1:6" ht="24.75" customHeight="1" x14ac:dyDescent="0.2">
      <c r="A24" s="160" t="s">
        <v>48</v>
      </c>
      <c r="B24" s="160"/>
      <c r="C24" s="160"/>
      <c r="D24" s="160"/>
      <c r="E24" s="160"/>
      <c r="F24" s="39"/>
    </row>
    <row r="25" spans="1:6" ht="27" customHeight="1" x14ac:dyDescent="0.2">
      <c r="A25" s="31" t="s">
        <v>27</v>
      </c>
      <c r="B25" s="31" t="s">
        <v>10</v>
      </c>
      <c r="C25" s="31" t="s">
        <v>86</v>
      </c>
      <c r="D25" s="31" t="s">
        <v>56</v>
      </c>
      <c r="E25" s="31" t="s">
        <v>36</v>
      </c>
      <c r="F25" s="40"/>
    </row>
    <row r="26" spans="1:6" s="57" customFormat="1" hidden="1" x14ac:dyDescent="0.2">
      <c r="A26" s="81"/>
      <c r="B26" s="78"/>
      <c r="C26" s="79"/>
      <c r="D26" s="79"/>
      <c r="E26" s="80"/>
      <c r="F26" s="1"/>
    </row>
    <row r="27" spans="1:6" s="57" customFormat="1" x14ac:dyDescent="0.2">
      <c r="A27" s="81">
        <v>43293</v>
      </c>
      <c r="B27" s="78">
        <f>379.35</f>
        <v>379.35</v>
      </c>
      <c r="C27" s="128" t="s">
        <v>134</v>
      </c>
      <c r="D27" s="79" t="s">
        <v>101</v>
      </c>
      <c r="E27" s="80" t="s">
        <v>112</v>
      </c>
      <c r="F27" s="142"/>
    </row>
    <row r="28" spans="1:6" s="57" customFormat="1" x14ac:dyDescent="0.2">
      <c r="A28" s="81"/>
      <c r="B28" s="78">
        <f>175.65</f>
        <v>175.65</v>
      </c>
      <c r="C28" s="128" t="s">
        <v>110</v>
      </c>
      <c r="D28" s="79" t="s">
        <v>104</v>
      </c>
      <c r="E28" s="80"/>
      <c r="F28" s="142"/>
    </row>
    <row r="29" spans="1:6" s="57" customFormat="1" x14ac:dyDescent="0.2">
      <c r="A29" s="81"/>
      <c r="B29" s="78">
        <f>140.98</f>
        <v>140.97999999999999</v>
      </c>
      <c r="C29" s="128"/>
      <c r="D29" s="79" t="s">
        <v>111</v>
      </c>
      <c r="E29" s="80"/>
      <c r="F29" s="142"/>
    </row>
    <row r="30" spans="1:6" s="57" customFormat="1" x14ac:dyDescent="0.2">
      <c r="A30" s="124"/>
      <c r="B30" s="125">
        <f>104.52</f>
        <v>104.52</v>
      </c>
      <c r="C30" s="129"/>
      <c r="D30" s="126" t="s">
        <v>105</v>
      </c>
      <c r="E30" s="127"/>
      <c r="F30" s="142"/>
    </row>
    <row r="31" spans="1:6" s="57" customFormat="1" x14ac:dyDescent="0.2">
      <c r="A31" s="135">
        <v>43313</v>
      </c>
      <c r="B31" s="136">
        <v>176</v>
      </c>
      <c r="C31" s="137" t="s">
        <v>133</v>
      </c>
      <c r="D31" s="138" t="s">
        <v>119</v>
      </c>
      <c r="E31" s="139" t="s">
        <v>120</v>
      </c>
      <c r="F31" s="142"/>
    </row>
    <row r="32" spans="1:6" s="57" customFormat="1" x14ac:dyDescent="0.2">
      <c r="A32" s="120">
        <v>43336</v>
      </c>
      <c r="B32" s="121">
        <f>325.07</f>
        <v>325.07</v>
      </c>
      <c r="C32" s="132" t="s">
        <v>135</v>
      </c>
      <c r="D32" s="122" t="s">
        <v>101</v>
      </c>
      <c r="E32" s="123" t="s">
        <v>114</v>
      </c>
      <c r="F32" s="142"/>
    </row>
    <row r="33" spans="1:6" s="57" customFormat="1" x14ac:dyDescent="0.2">
      <c r="A33" s="124"/>
      <c r="B33" s="125">
        <v>29.57</v>
      </c>
      <c r="C33" s="134">
        <v>43336</v>
      </c>
      <c r="D33" s="126" t="s">
        <v>113</v>
      </c>
      <c r="E33" s="127"/>
      <c r="F33" s="142"/>
    </row>
    <row r="34" spans="1:6" s="57" customFormat="1" x14ac:dyDescent="0.2">
      <c r="A34" s="120">
        <v>43339</v>
      </c>
      <c r="B34" s="121">
        <f>402.42</f>
        <v>402.42</v>
      </c>
      <c r="C34" s="132" t="s">
        <v>136</v>
      </c>
      <c r="D34" s="122" t="s">
        <v>101</v>
      </c>
      <c r="E34" s="123" t="s">
        <v>112</v>
      </c>
      <c r="F34" s="142"/>
    </row>
    <row r="35" spans="1:6" s="57" customFormat="1" x14ac:dyDescent="0.2">
      <c r="A35" s="81"/>
      <c r="B35" s="78">
        <f>71.13</f>
        <v>71.13</v>
      </c>
      <c r="C35" s="133" t="s">
        <v>131</v>
      </c>
      <c r="D35" s="79" t="s">
        <v>105</v>
      </c>
      <c r="E35" s="80"/>
      <c r="F35" s="142"/>
    </row>
    <row r="36" spans="1:6" s="57" customFormat="1" x14ac:dyDescent="0.2">
      <c r="A36" s="124"/>
      <c r="B36" s="125">
        <v>29.57</v>
      </c>
      <c r="C36" s="134">
        <v>43339</v>
      </c>
      <c r="D36" s="126" t="s">
        <v>113</v>
      </c>
      <c r="E36" s="127"/>
      <c r="F36" s="142"/>
    </row>
    <row r="37" spans="1:6" s="57" customFormat="1" x14ac:dyDescent="0.2">
      <c r="A37" s="120">
        <v>43341</v>
      </c>
      <c r="B37" s="121">
        <f>503.03</f>
        <v>503.03</v>
      </c>
      <c r="C37" s="132" t="s">
        <v>137</v>
      </c>
      <c r="D37" s="122" t="s">
        <v>101</v>
      </c>
      <c r="E37" s="79" t="s">
        <v>118</v>
      </c>
      <c r="F37" s="142"/>
    </row>
    <row r="38" spans="1:6" s="57" customFormat="1" x14ac:dyDescent="0.2">
      <c r="A38" s="120"/>
      <c r="B38" s="121">
        <f>323.03</f>
        <v>323.02999999999997</v>
      </c>
      <c r="C38" s="132" t="s">
        <v>117</v>
      </c>
      <c r="D38" s="122" t="s">
        <v>111</v>
      </c>
      <c r="E38" s="123"/>
      <c r="F38" s="142"/>
    </row>
    <row r="39" spans="1:6" s="57" customFormat="1" x14ac:dyDescent="0.2">
      <c r="A39" s="81"/>
      <c r="B39" s="78">
        <f>185</f>
        <v>185</v>
      </c>
      <c r="C39" s="128"/>
      <c r="D39" s="79" t="s">
        <v>104</v>
      </c>
      <c r="E39" s="80"/>
      <c r="F39" s="142"/>
    </row>
    <row r="40" spans="1:6" s="57" customFormat="1" x14ac:dyDescent="0.2">
      <c r="A40" s="81"/>
      <c r="B40" s="78">
        <v>43.48</v>
      </c>
      <c r="C40" s="128"/>
      <c r="D40" s="79" t="s">
        <v>108</v>
      </c>
      <c r="E40" s="80"/>
      <c r="F40" s="142"/>
    </row>
    <row r="41" spans="1:6" s="57" customFormat="1" x14ac:dyDescent="0.2">
      <c r="A41" s="124"/>
      <c r="B41" s="125">
        <v>54.95</v>
      </c>
      <c r="C41" s="129"/>
      <c r="D41" s="126" t="s">
        <v>105</v>
      </c>
      <c r="E41" s="127"/>
      <c r="F41" s="142"/>
    </row>
    <row r="42" spans="1:6" s="57" customFormat="1" x14ac:dyDescent="0.2">
      <c r="A42" s="135">
        <v>43344</v>
      </c>
      <c r="B42" s="136">
        <v>246.59</v>
      </c>
      <c r="C42" s="137" t="s">
        <v>119</v>
      </c>
      <c r="D42" s="138" t="s">
        <v>121</v>
      </c>
      <c r="E42" s="139" t="s">
        <v>124</v>
      </c>
      <c r="F42" s="142"/>
    </row>
    <row r="43" spans="1:6" s="57" customFormat="1" x14ac:dyDescent="0.2">
      <c r="A43" s="120">
        <v>43348</v>
      </c>
      <c r="B43" s="121">
        <f>605.98</f>
        <v>605.98</v>
      </c>
      <c r="C43" s="132" t="s">
        <v>138</v>
      </c>
      <c r="D43" s="122" t="s">
        <v>101</v>
      </c>
      <c r="E43" s="123" t="s">
        <v>129</v>
      </c>
      <c r="F43" s="142"/>
    </row>
    <row r="44" spans="1:6" s="57" customFormat="1" x14ac:dyDescent="0.2">
      <c r="A44" s="120"/>
      <c r="B44" s="121">
        <f>577.51</f>
        <v>577.51</v>
      </c>
      <c r="C44" s="132" t="s">
        <v>123</v>
      </c>
      <c r="D44" s="122" t="s">
        <v>111</v>
      </c>
      <c r="E44" s="123"/>
      <c r="F44" s="142"/>
    </row>
    <row r="45" spans="1:6" s="57" customFormat="1" x14ac:dyDescent="0.2">
      <c r="A45" s="120"/>
      <c r="B45" s="121">
        <f>152.17</f>
        <v>152.16999999999999</v>
      </c>
      <c r="C45" s="132"/>
      <c r="D45" s="122" t="s">
        <v>104</v>
      </c>
      <c r="E45" s="123"/>
      <c r="F45" s="142"/>
    </row>
    <row r="46" spans="1:6" s="57" customFormat="1" x14ac:dyDescent="0.2">
      <c r="A46" s="124"/>
      <c r="B46" s="125">
        <v>43.48</v>
      </c>
      <c r="C46" s="129"/>
      <c r="D46" s="126" t="s">
        <v>108</v>
      </c>
      <c r="E46" s="127"/>
      <c r="F46" s="142"/>
    </row>
    <row r="47" spans="1:6" s="57" customFormat="1" x14ac:dyDescent="0.2">
      <c r="A47" s="120">
        <v>43362</v>
      </c>
      <c r="B47" s="121">
        <f>309.75</f>
        <v>309.75</v>
      </c>
      <c r="C47" s="132" t="s">
        <v>139</v>
      </c>
      <c r="D47" s="122" t="s">
        <v>101</v>
      </c>
      <c r="E47" s="123" t="s">
        <v>125</v>
      </c>
      <c r="F47" s="142"/>
    </row>
    <row r="48" spans="1:6" s="57" customFormat="1" x14ac:dyDescent="0.2">
      <c r="A48" s="120"/>
      <c r="B48" s="121">
        <f>199.8</f>
        <v>199.8</v>
      </c>
      <c r="C48" s="140">
        <v>43362</v>
      </c>
      <c r="D48" s="122" t="s">
        <v>111</v>
      </c>
      <c r="E48" s="123"/>
      <c r="F48" s="142"/>
    </row>
    <row r="49" spans="1:6" s="57" customFormat="1" x14ac:dyDescent="0.2">
      <c r="A49" s="124"/>
      <c r="B49" s="125">
        <v>29.57</v>
      </c>
      <c r="C49" s="129"/>
      <c r="D49" s="126" t="s">
        <v>113</v>
      </c>
      <c r="E49" s="127"/>
      <c r="F49" s="142"/>
    </row>
    <row r="50" spans="1:6" s="57" customFormat="1" x14ac:dyDescent="0.2">
      <c r="A50" s="120">
        <v>43363</v>
      </c>
      <c r="B50" s="121">
        <f>496.96</f>
        <v>496.96</v>
      </c>
      <c r="C50" s="132" t="s">
        <v>140</v>
      </c>
      <c r="D50" s="122" t="s">
        <v>101</v>
      </c>
      <c r="E50" s="123" t="s">
        <v>130</v>
      </c>
      <c r="F50" s="142"/>
    </row>
    <row r="51" spans="1:6" s="150" customFormat="1" ht="25.5" x14ac:dyDescent="0.2">
      <c r="A51" s="120"/>
      <c r="B51" s="121">
        <v>47.83</v>
      </c>
      <c r="C51" s="140">
        <v>43363</v>
      </c>
      <c r="D51" s="122" t="s">
        <v>142</v>
      </c>
      <c r="E51" s="123"/>
      <c r="F51" s="149"/>
    </row>
    <row r="52" spans="1:6" s="150" customFormat="1" x14ac:dyDescent="0.2">
      <c r="A52" s="144"/>
      <c r="B52" s="145">
        <v>26.2</v>
      </c>
      <c r="C52" s="146"/>
      <c r="D52" s="147" t="s">
        <v>127</v>
      </c>
      <c r="E52" s="148" t="s">
        <v>116</v>
      </c>
      <c r="F52" s="151"/>
    </row>
    <row r="53" spans="1:6" s="57" customFormat="1" x14ac:dyDescent="0.2">
      <c r="A53" s="135">
        <v>43373</v>
      </c>
      <c r="B53" s="136">
        <v>82.34</v>
      </c>
      <c r="C53" s="137" t="s">
        <v>119</v>
      </c>
      <c r="D53" s="141" t="s">
        <v>126</v>
      </c>
      <c r="E53" s="139" t="s">
        <v>124</v>
      </c>
      <c r="F53" s="142"/>
    </row>
    <row r="54" spans="1:6" s="57" customFormat="1" x14ac:dyDescent="0.2">
      <c r="A54" s="120"/>
      <c r="B54" s="121"/>
      <c r="C54" s="132"/>
      <c r="D54" s="122"/>
      <c r="E54" s="123"/>
      <c r="F54" s="1"/>
    </row>
    <row r="55" spans="1:6" s="57" customFormat="1" x14ac:dyDescent="0.2">
      <c r="A55" s="81"/>
      <c r="B55" s="78"/>
      <c r="C55" s="79"/>
      <c r="D55" s="79"/>
      <c r="E55" s="80"/>
      <c r="F55" s="1"/>
    </row>
    <row r="56" spans="1:6" ht="19.5" customHeight="1" x14ac:dyDescent="0.2">
      <c r="A56" s="93" t="s">
        <v>90</v>
      </c>
      <c r="B56" s="94">
        <f>SUM(B26:B55)</f>
        <v>5761.9299999999994</v>
      </c>
      <c r="C56" s="95"/>
      <c r="D56" s="159"/>
      <c r="E56" s="159"/>
      <c r="F56" s="38"/>
    </row>
    <row r="57" spans="1:6" ht="10.5" customHeight="1" x14ac:dyDescent="0.2">
      <c r="A57" s="28"/>
      <c r="B57" s="24"/>
      <c r="C57" s="28"/>
      <c r="D57" s="28"/>
      <c r="E57" s="28"/>
      <c r="F57" s="28"/>
    </row>
    <row r="58" spans="1:6" ht="24.75" customHeight="1" x14ac:dyDescent="0.2">
      <c r="A58" s="160" t="s">
        <v>22</v>
      </c>
      <c r="B58" s="160"/>
      <c r="C58" s="160"/>
      <c r="D58" s="160"/>
      <c r="E58" s="160"/>
      <c r="F58" s="38"/>
    </row>
    <row r="59" spans="1:6" ht="27" customHeight="1" x14ac:dyDescent="0.2">
      <c r="A59" s="31" t="s">
        <v>27</v>
      </c>
      <c r="B59" s="31" t="s">
        <v>10</v>
      </c>
      <c r="C59" s="31" t="s">
        <v>87</v>
      </c>
      <c r="D59" s="31" t="s">
        <v>45</v>
      </c>
      <c r="E59" s="31" t="s">
        <v>36</v>
      </c>
      <c r="F59" s="41"/>
    </row>
    <row r="60" spans="1:6" s="57" customFormat="1" hidden="1" x14ac:dyDescent="0.2">
      <c r="A60" s="81"/>
      <c r="B60" s="78"/>
      <c r="C60" s="79"/>
      <c r="D60" s="79"/>
      <c r="E60" s="80"/>
      <c r="F60" s="1"/>
    </row>
    <row r="61" spans="1:6" s="57" customFormat="1" x14ac:dyDescent="0.2">
      <c r="A61" s="135">
        <v>43340</v>
      </c>
      <c r="B61" s="136">
        <v>29.57</v>
      </c>
      <c r="C61" s="137" t="s">
        <v>115</v>
      </c>
      <c r="D61" s="138" t="s">
        <v>132</v>
      </c>
      <c r="E61" s="139" t="s">
        <v>116</v>
      </c>
      <c r="F61" s="1"/>
    </row>
    <row r="62" spans="1:6" s="57" customFormat="1" x14ac:dyDescent="0.2">
      <c r="A62" s="120"/>
      <c r="B62" s="121"/>
      <c r="C62" s="122"/>
      <c r="D62" s="122"/>
      <c r="E62" s="123"/>
      <c r="F62" s="1"/>
    </row>
    <row r="63" spans="1:6" s="57" customFormat="1" x14ac:dyDescent="0.2">
      <c r="A63" s="81"/>
      <c r="B63" s="78"/>
      <c r="C63" s="79"/>
      <c r="D63" s="79"/>
      <c r="E63" s="80"/>
      <c r="F63" s="1"/>
    </row>
    <row r="64" spans="1:6" ht="19.5" customHeight="1" x14ac:dyDescent="0.2">
      <c r="A64" s="93" t="s">
        <v>88</v>
      </c>
      <c r="B64" s="94">
        <f>SUM(B60:B63)</f>
        <v>29.57</v>
      </c>
      <c r="C64" s="95"/>
      <c r="D64" s="159"/>
      <c r="E64" s="159"/>
      <c r="F64" s="38"/>
    </row>
    <row r="65" spans="1:6" ht="10.5" customHeight="1" x14ac:dyDescent="0.2">
      <c r="A65" s="28"/>
      <c r="B65" s="65"/>
      <c r="C65" s="24"/>
      <c r="D65" s="28"/>
      <c r="E65" s="28"/>
      <c r="F65" s="28"/>
    </row>
    <row r="66" spans="1:6" ht="34.5" customHeight="1" x14ac:dyDescent="0.2">
      <c r="A66" s="42" t="s">
        <v>1</v>
      </c>
      <c r="B66" s="66">
        <f>B22+B56+B64</f>
        <v>10817.339999999998</v>
      </c>
      <c r="C66" s="43"/>
      <c r="D66" s="43"/>
      <c r="E66" s="43"/>
      <c r="F66" s="27"/>
    </row>
    <row r="67" spans="1:6" x14ac:dyDescent="0.2">
      <c r="A67" s="28"/>
      <c r="B67" s="24"/>
      <c r="C67" s="28"/>
      <c r="D67" s="28"/>
      <c r="E67" s="28"/>
      <c r="F67" s="28"/>
    </row>
    <row r="68" spans="1:6" x14ac:dyDescent="0.2">
      <c r="A68" s="35"/>
      <c r="B68" s="28"/>
      <c r="C68" s="28"/>
      <c r="D68" s="28"/>
      <c r="E68" s="38"/>
      <c r="F68" s="38"/>
    </row>
    <row r="69" spans="1:6" x14ac:dyDescent="0.2">
      <c r="A69" s="35"/>
      <c r="B69" s="28"/>
      <c r="C69" s="28"/>
      <c r="D69" s="28"/>
      <c r="E69" s="38"/>
      <c r="F69" s="38"/>
    </row>
    <row r="70" spans="1:6" x14ac:dyDescent="0.2"/>
    <row r="71" spans="1:6" x14ac:dyDescent="0.2"/>
    <row r="72" spans="1:6" x14ac:dyDescent="0.2"/>
    <row r="73" spans="1:6" x14ac:dyDescent="0.2"/>
    <row r="74" spans="1:6" ht="12.75" customHeight="1" x14ac:dyDescent="0.2"/>
    <row r="75" spans="1:6" x14ac:dyDescent="0.2"/>
    <row r="76" spans="1:6" x14ac:dyDescent="0.2"/>
    <row r="77" spans="1:6" x14ac:dyDescent="0.2">
      <c r="A77" s="44"/>
      <c r="B77" s="38"/>
      <c r="C77" s="38"/>
      <c r="D77" s="38"/>
      <c r="E77" s="38"/>
      <c r="F77" s="38"/>
    </row>
    <row r="78" spans="1:6" x14ac:dyDescent="0.2">
      <c r="A78" s="44"/>
      <c r="B78" s="38"/>
      <c r="C78" s="38"/>
      <c r="D78" s="38"/>
      <c r="E78" s="38"/>
      <c r="F78" s="38"/>
    </row>
    <row r="79" spans="1:6" x14ac:dyDescent="0.2">
      <c r="A79" s="44"/>
      <c r="B79" s="38"/>
      <c r="C79" s="38"/>
      <c r="D79" s="38"/>
      <c r="E79" s="38"/>
      <c r="F79" s="38"/>
    </row>
    <row r="80" spans="1:6" x14ac:dyDescent="0.2">
      <c r="A80" s="44"/>
      <c r="B80" s="38"/>
      <c r="C80" s="38"/>
      <c r="D80" s="38"/>
      <c r="E80" s="38"/>
      <c r="F80" s="38"/>
    </row>
    <row r="81" spans="1:6" x14ac:dyDescent="0.2">
      <c r="A81" s="44"/>
      <c r="B81" s="38"/>
      <c r="C81" s="38"/>
      <c r="D81" s="38"/>
      <c r="E81" s="38"/>
      <c r="F81" s="38"/>
    </row>
    <row r="82" spans="1:6" x14ac:dyDescent="0.2"/>
    <row r="83" spans="1:6" x14ac:dyDescent="0.2"/>
    <row r="84" spans="1:6" x14ac:dyDescent="0.2"/>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sheetData>
  <sheetProtection formatCells="0" formatRows="0" insertColumns="0" insertRows="0" deleteRows="0"/>
  <mergeCells count="15">
    <mergeCell ref="B7:E7"/>
    <mergeCell ref="B5:E5"/>
    <mergeCell ref="D64:E64"/>
    <mergeCell ref="A1:E1"/>
    <mergeCell ref="A24:E24"/>
    <mergeCell ref="A58:E58"/>
    <mergeCell ref="B2:E2"/>
    <mergeCell ref="B3:E3"/>
    <mergeCell ref="B4:E4"/>
    <mergeCell ref="A8:E8"/>
    <mergeCell ref="A9:E9"/>
    <mergeCell ref="B6:E6"/>
    <mergeCell ref="D22:E22"/>
    <mergeCell ref="D56:E5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26:A36 A38:A55 A60:A63">
      <formula1>$B$4</formula1>
      <formula2>$B$5</formula2>
    </dataValidation>
    <dataValidation allowBlank="1" showInputMessage="1" showErrorMessage="1" prompt="Insert additional rows as needed:_x000a_- 'right click' on a row number (left of screen)_x000a_- select 'Insert' (this will insert a row above it)" sqref="A59 A25 A11"/>
    <dataValidation type="decimal" operator="greaterThan" allowBlank="1" showInputMessage="1" showErrorMessage="1" error="This cell must contain a dollar figure" sqref="B26:B36 B60:B63 B38:B55">
      <formula1>$A$41</formula1>
    </dataValidation>
  </dataValidations>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6" sqref="B6:E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5" t="s">
        <v>5</v>
      </c>
      <c r="B1" s="155"/>
      <c r="C1" s="155"/>
      <c r="D1" s="155"/>
      <c r="E1" s="155"/>
      <c r="F1" s="34"/>
    </row>
    <row r="2" spans="1:6" ht="21" customHeight="1" x14ac:dyDescent="0.2">
      <c r="A2" s="4" t="s">
        <v>2</v>
      </c>
      <c r="B2" s="158" t="str">
        <f>'Summary and sign-off'!B2:F2</f>
        <v>Department of Corrections</v>
      </c>
      <c r="C2" s="158"/>
      <c r="D2" s="158"/>
      <c r="E2" s="158"/>
      <c r="F2" s="34"/>
    </row>
    <row r="3" spans="1:6" ht="21" customHeight="1" x14ac:dyDescent="0.2">
      <c r="A3" s="4" t="s">
        <v>3</v>
      </c>
      <c r="B3" s="158" t="str">
        <f>'Summary and sign-off'!B3:F3</f>
        <v>Ray Smith</v>
      </c>
      <c r="C3" s="158"/>
      <c r="D3" s="158"/>
      <c r="E3" s="158"/>
      <c r="F3" s="34"/>
    </row>
    <row r="4" spans="1:6" ht="21" customHeight="1" x14ac:dyDescent="0.2">
      <c r="A4" s="4" t="s">
        <v>37</v>
      </c>
      <c r="B4" s="158">
        <f>'Summary and sign-off'!B4:F4</f>
        <v>43282</v>
      </c>
      <c r="C4" s="158"/>
      <c r="D4" s="158"/>
      <c r="E4" s="158"/>
      <c r="F4" s="34"/>
    </row>
    <row r="5" spans="1:6" ht="21" customHeight="1" x14ac:dyDescent="0.2">
      <c r="A5" s="4" t="s">
        <v>38</v>
      </c>
      <c r="B5" s="158">
        <f>'Summary and sign-off'!B5:F5</f>
        <v>43371</v>
      </c>
      <c r="C5" s="158"/>
      <c r="D5" s="158"/>
      <c r="E5" s="158"/>
      <c r="F5" s="34"/>
    </row>
    <row r="6" spans="1:6" ht="21" customHeight="1" x14ac:dyDescent="0.2">
      <c r="A6" s="4" t="s">
        <v>8</v>
      </c>
      <c r="B6" s="153"/>
      <c r="C6" s="153"/>
      <c r="D6" s="153"/>
      <c r="E6" s="153"/>
      <c r="F6" s="34"/>
    </row>
    <row r="7" spans="1:6" ht="21" customHeight="1" x14ac:dyDescent="0.2">
      <c r="A7" s="4" t="s">
        <v>57</v>
      </c>
      <c r="B7" s="153" t="s">
        <v>68</v>
      </c>
      <c r="C7" s="153"/>
      <c r="D7" s="153"/>
      <c r="E7" s="153"/>
      <c r="F7" s="34"/>
    </row>
    <row r="8" spans="1:6" ht="35.25" customHeight="1" x14ac:dyDescent="0.25">
      <c r="A8" s="168" t="s">
        <v>92</v>
      </c>
      <c r="B8" s="168"/>
      <c r="C8" s="169"/>
      <c r="D8" s="169"/>
      <c r="E8" s="169"/>
      <c r="F8" s="37"/>
    </row>
    <row r="9" spans="1:6" ht="35.25" customHeight="1" x14ac:dyDescent="0.25">
      <c r="A9" s="166" t="s">
        <v>75</v>
      </c>
      <c r="B9" s="167"/>
      <c r="C9" s="167"/>
      <c r="D9" s="167"/>
      <c r="E9" s="167"/>
      <c r="F9" s="37"/>
    </row>
    <row r="10" spans="1:6" ht="27" customHeight="1" x14ac:dyDescent="0.2">
      <c r="A10" s="31" t="s">
        <v>93</v>
      </c>
      <c r="B10" s="31" t="s">
        <v>10</v>
      </c>
      <c r="C10" s="31" t="s">
        <v>46</v>
      </c>
      <c r="D10" s="31" t="s">
        <v>44</v>
      </c>
      <c r="E10" s="31" t="s">
        <v>36</v>
      </c>
      <c r="F10" s="25"/>
    </row>
    <row r="11" spans="1:6" s="57" customFormat="1" hidden="1" x14ac:dyDescent="0.2">
      <c r="A11" s="77"/>
      <c r="B11" s="78"/>
      <c r="C11" s="82"/>
      <c r="D11" s="82"/>
      <c r="E11" s="83"/>
      <c r="F11" s="2"/>
    </row>
    <row r="12" spans="1:6" s="57" customFormat="1" x14ac:dyDescent="0.2">
      <c r="A12" s="81"/>
      <c r="B12" s="78"/>
      <c r="C12" s="82" t="s">
        <v>143</v>
      </c>
      <c r="D12" s="82"/>
      <c r="E12" s="83"/>
      <c r="F12" s="2"/>
    </row>
    <row r="13" spans="1:6" s="57" customFormat="1" x14ac:dyDescent="0.2">
      <c r="A13" s="81"/>
      <c r="B13" s="78"/>
      <c r="C13" s="82"/>
      <c r="D13" s="82"/>
      <c r="E13" s="83"/>
      <c r="F13" s="2"/>
    </row>
    <row r="14" spans="1:6" s="57" customFormat="1" ht="11.25" customHeight="1" x14ac:dyDescent="0.2">
      <c r="A14" s="77"/>
      <c r="B14" s="78"/>
      <c r="C14" s="82"/>
      <c r="D14" s="82"/>
      <c r="E14" s="83"/>
      <c r="F14" s="2"/>
    </row>
    <row r="15" spans="1:6" ht="34.5" customHeight="1" x14ac:dyDescent="0.2">
      <c r="A15" s="58" t="s">
        <v>72</v>
      </c>
      <c r="B15" s="70">
        <f>SUM(B11:B14)</f>
        <v>0</v>
      </c>
      <c r="C15" s="88"/>
      <c r="D15" s="159"/>
      <c r="E15" s="159"/>
      <c r="F15" s="2"/>
    </row>
    <row r="16" spans="1:6" x14ac:dyDescent="0.2">
      <c r="A16" s="23"/>
      <c r="B16" s="22"/>
      <c r="C16" s="22"/>
      <c r="D16" s="22"/>
      <c r="E16" s="22"/>
      <c r="F16" s="34"/>
    </row>
    <row r="17" spans="1:6" x14ac:dyDescent="0.2">
      <c r="A17" s="22"/>
      <c r="B17" s="22"/>
      <c r="C17" s="22"/>
      <c r="D17" s="22"/>
      <c r="E17" s="22"/>
      <c r="F17" s="34"/>
    </row>
    <row r="18" spans="1:6" x14ac:dyDescent="0.2"/>
    <row r="19" spans="1:6" x14ac:dyDescent="0.2"/>
    <row r="20" spans="1:6" x14ac:dyDescent="0.2"/>
    <row r="21" spans="1:6" x14ac:dyDescent="0.2"/>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6" sqref="B6:E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5" t="s">
        <v>5</v>
      </c>
      <c r="B1" s="155"/>
      <c r="C1" s="155"/>
      <c r="D1" s="155"/>
      <c r="E1" s="155"/>
      <c r="F1" s="26"/>
    </row>
    <row r="2" spans="1:6" ht="21" customHeight="1" x14ac:dyDescent="0.2">
      <c r="A2" s="4" t="s">
        <v>2</v>
      </c>
      <c r="B2" s="158" t="str">
        <f>'Summary and sign-off'!B2:F2</f>
        <v>Department of Corrections</v>
      </c>
      <c r="C2" s="158"/>
      <c r="D2" s="158"/>
      <c r="E2" s="158"/>
      <c r="F2" s="26"/>
    </row>
    <row r="3" spans="1:6" ht="21" customHeight="1" x14ac:dyDescent="0.2">
      <c r="A3" s="4" t="s">
        <v>3</v>
      </c>
      <c r="B3" s="158" t="str">
        <f>'Summary and sign-off'!B3:F3</f>
        <v>Ray Smith</v>
      </c>
      <c r="C3" s="158"/>
      <c r="D3" s="158"/>
      <c r="E3" s="158"/>
      <c r="F3" s="26"/>
    </row>
    <row r="4" spans="1:6" ht="21" customHeight="1" x14ac:dyDescent="0.2">
      <c r="A4" s="4" t="s">
        <v>37</v>
      </c>
      <c r="B4" s="158">
        <f>'Summary and sign-off'!B4:F4</f>
        <v>43282</v>
      </c>
      <c r="C4" s="158"/>
      <c r="D4" s="158"/>
      <c r="E4" s="158"/>
      <c r="F4" s="26"/>
    </row>
    <row r="5" spans="1:6" ht="21" customHeight="1" x14ac:dyDescent="0.2">
      <c r="A5" s="4" t="s">
        <v>38</v>
      </c>
      <c r="B5" s="158">
        <f>'Summary and sign-off'!B5:F5</f>
        <v>43371</v>
      </c>
      <c r="C5" s="158"/>
      <c r="D5" s="158"/>
      <c r="E5" s="158"/>
      <c r="F5" s="26"/>
    </row>
    <row r="6" spans="1:6" ht="21" customHeight="1" x14ac:dyDescent="0.2">
      <c r="A6" s="4" t="s">
        <v>8</v>
      </c>
      <c r="B6" s="153" t="s">
        <v>31</v>
      </c>
      <c r="C6" s="153"/>
      <c r="D6" s="153"/>
      <c r="E6" s="153"/>
      <c r="F6" s="30"/>
    </row>
    <row r="7" spans="1:6" ht="21" customHeight="1" x14ac:dyDescent="0.2">
      <c r="A7" s="4" t="s">
        <v>57</v>
      </c>
      <c r="B7" s="153" t="s">
        <v>68</v>
      </c>
      <c r="C7" s="153"/>
      <c r="D7" s="153"/>
      <c r="E7" s="153"/>
      <c r="F7" s="30"/>
    </row>
    <row r="8" spans="1:6" ht="35.25" customHeight="1" x14ac:dyDescent="0.2">
      <c r="A8" s="162" t="s">
        <v>0</v>
      </c>
      <c r="B8" s="162"/>
      <c r="C8" s="169"/>
      <c r="D8" s="169"/>
      <c r="E8" s="169"/>
      <c r="F8" s="26"/>
    </row>
    <row r="9" spans="1:6" ht="35.25" customHeight="1" x14ac:dyDescent="0.2">
      <c r="A9" s="170" t="s">
        <v>71</v>
      </c>
      <c r="B9" s="171"/>
      <c r="C9" s="171"/>
      <c r="D9" s="171"/>
      <c r="E9" s="171"/>
      <c r="F9" s="26"/>
    </row>
    <row r="10" spans="1:6" ht="27" customHeight="1" x14ac:dyDescent="0.2">
      <c r="A10" s="31" t="s">
        <v>27</v>
      </c>
      <c r="B10" s="31" t="s">
        <v>10</v>
      </c>
      <c r="C10" s="31" t="s">
        <v>28</v>
      </c>
      <c r="D10" s="31" t="s">
        <v>94</v>
      </c>
      <c r="E10" s="31" t="s">
        <v>36</v>
      </c>
      <c r="F10" s="32"/>
    </row>
    <row r="11" spans="1:6" s="57" customFormat="1" hidden="1" x14ac:dyDescent="0.2">
      <c r="A11" s="77"/>
      <c r="B11" s="78"/>
      <c r="C11" s="82"/>
      <c r="D11" s="82"/>
      <c r="E11" s="83"/>
      <c r="F11" s="3"/>
    </row>
    <row r="12" spans="1:6" s="57" customFormat="1" x14ac:dyDescent="0.2">
      <c r="A12" s="81">
        <v>43373</v>
      </c>
      <c r="B12" s="143">
        <f>(0.85+16.62+12.57+(3*32))</f>
        <v>126.04</v>
      </c>
      <c r="C12" s="82" t="s">
        <v>128</v>
      </c>
      <c r="D12" s="82" t="s">
        <v>141</v>
      </c>
      <c r="E12" s="83" t="s">
        <v>122</v>
      </c>
      <c r="F12" s="3"/>
    </row>
    <row r="13" spans="1:6" s="57" customFormat="1" x14ac:dyDescent="0.2">
      <c r="A13" s="82"/>
      <c r="B13" s="82"/>
      <c r="C13" s="82"/>
      <c r="D13" s="82"/>
      <c r="E13" s="83"/>
      <c r="F13" s="3"/>
    </row>
    <row r="14" spans="1:6" s="57" customFormat="1" x14ac:dyDescent="0.2">
      <c r="A14" s="81"/>
      <c r="B14" s="78"/>
      <c r="C14" s="82"/>
      <c r="D14" s="82"/>
      <c r="E14" s="83"/>
      <c r="F14" s="3"/>
    </row>
    <row r="15" spans="1:6" s="57" customFormat="1" x14ac:dyDescent="0.2">
      <c r="A15" s="77"/>
      <c r="B15" s="78"/>
      <c r="C15" s="82"/>
      <c r="D15" s="82"/>
      <c r="E15" s="83"/>
      <c r="F15" s="3"/>
    </row>
    <row r="16" spans="1:6" ht="34.5" customHeight="1" x14ac:dyDescent="0.2">
      <c r="A16" s="58" t="s">
        <v>76</v>
      </c>
      <c r="B16" s="70">
        <f>SUM(B11:B15)</f>
        <v>126.04</v>
      </c>
      <c r="C16" s="88"/>
      <c r="D16" s="159"/>
      <c r="E16" s="159"/>
      <c r="F16" s="33"/>
    </row>
    <row r="17" spans="1:6" ht="14.1" customHeight="1" x14ac:dyDescent="0.2">
      <c r="A17" s="34"/>
      <c r="B17" s="28"/>
      <c r="C17" s="22"/>
      <c r="D17" s="22"/>
      <c r="E17" s="22"/>
      <c r="F17" s="26"/>
    </row>
    <row r="18" spans="1:6" x14ac:dyDescent="0.2">
      <c r="A18" s="22"/>
      <c r="B18" s="22"/>
      <c r="C18" s="22"/>
      <c r="D18" s="22"/>
      <c r="E18" s="34"/>
    </row>
    <row r="19" spans="1:6" ht="12.75" customHeight="1" x14ac:dyDescent="0.2"/>
    <row r="20" spans="1:6" x14ac:dyDescent="0.2">
      <c r="A20" s="36"/>
      <c r="B20" s="36"/>
      <c r="C20" s="36"/>
      <c r="D20" s="36"/>
      <c r="E20" s="36"/>
      <c r="F20" s="26"/>
    </row>
    <row r="21" spans="1:6" x14ac:dyDescent="0.2">
      <c r="A21" s="36"/>
      <c r="B21" s="36"/>
      <c r="C21" s="36"/>
      <c r="D21" s="36"/>
      <c r="E21" s="36"/>
      <c r="F21" s="26"/>
    </row>
    <row r="22" spans="1:6" x14ac:dyDescent="0.2">
      <c r="A22" s="36"/>
      <c r="B22" s="36"/>
      <c r="C22" s="36"/>
      <c r="D22" s="36"/>
      <c r="E22" s="36"/>
      <c r="F22" s="26"/>
    </row>
    <row r="23" spans="1:6" x14ac:dyDescent="0.2">
      <c r="A23" s="36"/>
      <c r="B23" s="36"/>
      <c r="C23" s="36"/>
      <c r="D23" s="36"/>
      <c r="E23" s="36"/>
      <c r="F23" s="26"/>
    </row>
    <row r="24" spans="1:6" x14ac:dyDescent="0.2">
      <c r="A24" s="36"/>
      <c r="B24" s="36"/>
      <c r="C24" s="36"/>
      <c r="D24" s="36"/>
      <c r="E24" s="36"/>
      <c r="F24" s="26"/>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A24" sqref="A24"/>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55" t="s">
        <v>11</v>
      </c>
      <c r="B1" s="155"/>
      <c r="C1" s="155"/>
      <c r="D1" s="155"/>
      <c r="E1" s="155"/>
      <c r="F1" s="155"/>
    </row>
    <row r="2" spans="1:7" ht="21" customHeight="1" x14ac:dyDescent="0.2">
      <c r="A2" s="4" t="s">
        <v>2</v>
      </c>
      <c r="B2" s="158" t="str">
        <f>'Summary and sign-off'!B2:F2</f>
        <v>Department of Corrections</v>
      </c>
      <c r="C2" s="158"/>
      <c r="D2" s="158"/>
      <c r="E2" s="158"/>
      <c r="F2" s="158"/>
    </row>
    <row r="3" spans="1:7" ht="21" customHeight="1" x14ac:dyDescent="0.2">
      <c r="A3" s="4" t="s">
        <v>3</v>
      </c>
      <c r="B3" s="158" t="str">
        <f>'Summary and sign-off'!B3:F3</f>
        <v>Ray Smith</v>
      </c>
      <c r="C3" s="158"/>
      <c r="D3" s="158"/>
      <c r="E3" s="158"/>
      <c r="F3" s="158"/>
    </row>
    <row r="4" spans="1:7" ht="21" customHeight="1" x14ac:dyDescent="0.2">
      <c r="A4" s="4" t="s">
        <v>37</v>
      </c>
      <c r="B4" s="158">
        <f>'Summary and sign-off'!B4:F4</f>
        <v>43282</v>
      </c>
      <c r="C4" s="158"/>
      <c r="D4" s="158"/>
      <c r="E4" s="158"/>
      <c r="F4" s="158"/>
    </row>
    <row r="5" spans="1:7" ht="21" customHeight="1" x14ac:dyDescent="0.2">
      <c r="A5" s="4" t="s">
        <v>38</v>
      </c>
      <c r="B5" s="158">
        <f>'Summary and sign-off'!B5:F5</f>
        <v>43371</v>
      </c>
      <c r="C5" s="158"/>
      <c r="D5" s="158"/>
      <c r="E5" s="158"/>
      <c r="F5" s="158"/>
    </row>
    <row r="6" spans="1:7" ht="21" customHeight="1" x14ac:dyDescent="0.2">
      <c r="A6" s="4" t="s">
        <v>97</v>
      </c>
      <c r="B6" s="153"/>
      <c r="C6" s="153"/>
      <c r="D6" s="153"/>
      <c r="E6" s="153"/>
      <c r="F6" s="153"/>
    </row>
    <row r="7" spans="1:7" ht="21" customHeight="1" x14ac:dyDescent="0.2">
      <c r="A7" s="4" t="s">
        <v>57</v>
      </c>
      <c r="B7" s="153" t="s">
        <v>68</v>
      </c>
      <c r="C7" s="153"/>
      <c r="D7" s="153"/>
      <c r="E7" s="153"/>
      <c r="F7" s="153"/>
    </row>
    <row r="8" spans="1:7" ht="36" customHeight="1" x14ac:dyDescent="0.2">
      <c r="A8" s="162" t="s">
        <v>29</v>
      </c>
      <c r="B8" s="162"/>
      <c r="C8" s="162"/>
      <c r="D8" s="162"/>
      <c r="E8" s="162"/>
      <c r="F8" s="162"/>
    </row>
    <row r="9" spans="1:7" ht="36" customHeight="1" x14ac:dyDescent="0.2">
      <c r="A9" s="170" t="s">
        <v>74</v>
      </c>
      <c r="B9" s="171"/>
      <c r="C9" s="171"/>
      <c r="D9" s="171"/>
      <c r="E9" s="171"/>
      <c r="F9" s="171"/>
    </row>
    <row r="10" spans="1:7" ht="39" customHeight="1" x14ac:dyDescent="0.2">
      <c r="A10" s="18" t="s">
        <v>27</v>
      </c>
      <c r="B10" s="9" t="s">
        <v>95</v>
      </c>
      <c r="C10" s="9" t="s">
        <v>41</v>
      </c>
      <c r="D10" s="9" t="s">
        <v>12</v>
      </c>
      <c r="E10" s="9" t="s">
        <v>42</v>
      </c>
      <c r="F10" s="9" t="s">
        <v>70</v>
      </c>
    </row>
    <row r="11" spans="1:7" s="57" customFormat="1" hidden="1" x14ac:dyDescent="0.2">
      <c r="A11" s="81"/>
      <c r="B11" s="82"/>
      <c r="C11" s="87"/>
      <c r="D11" s="82"/>
      <c r="E11" s="84"/>
      <c r="F11" s="83"/>
    </row>
    <row r="12" spans="1:7" s="57" customFormat="1" x14ac:dyDescent="0.2">
      <c r="A12" s="81"/>
      <c r="B12" s="85" t="s">
        <v>143</v>
      </c>
      <c r="C12" s="87"/>
      <c r="D12" s="85"/>
      <c r="E12" s="84"/>
      <c r="F12" s="86"/>
    </row>
    <row r="13" spans="1:7" s="57" customFormat="1" x14ac:dyDescent="0.2">
      <c r="A13" s="81"/>
      <c r="B13" s="85"/>
      <c r="C13" s="87"/>
      <c r="D13" s="85"/>
      <c r="E13" s="84"/>
      <c r="F13" s="86"/>
    </row>
    <row r="14" spans="1:7" s="57" customFormat="1" x14ac:dyDescent="0.2">
      <c r="A14" s="81"/>
      <c r="B14" s="85"/>
      <c r="C14" s="87"/>
      <c r="D14" s="85"/>
      <c r="E14" s="84"/>
      <c r="F14" s="86"/>
    </row>
    <row r="15" spans="1:7" ht="34.5" customHeight="1" x14ac:dyDescent="0.2">
      <c r="A15" s="59" t="s">
        <v>96</v>
      </c>
      <c r="B15" s="60" t="s">
        <v>14</v>
      </c>
      <c r="C15" s="61">
        <f>C16+C17</f>
        <v>0</v>
      </c>
      <c r="D15" s="96"/>
      <c r="E15" s="172"/>
      <c r="F15" s="172"/>
      <c r="G15" s="57"/>
    </row>
    <row r="16" spans="1:7" ht="25.5" customHeight="1" x14ac:dyDescent="0.25">
      <c r="A16" s="62"/>
      <c r="B16" s="63" t="s">
        <v>15</v>
      </c>
      <c r="C16" s="64">
        <f>COUNTIF(C11:C14,'Summary and sign-off'!A39)</f>
        <v>0</v>
      </c>
      <c r="D16" s="19"/>
      <c r="E16" s="20"/>
      <c r="F16" s="21"/>
    </row>
    <row r="17" spans="1:6" ht="25.5" customHeight="1" x14ac:dyDescent="0.25">
      <c r="A17" s="62"/>
      <c r="B17" s="63" t="s">
        <v>13</v>
      </c>
      <c r="C17" s="64">
        <f>COUNTIF(C11:C14,'Summary and sign-off'!A40)</f>
        <v>0</v>
      </c>
      <c r="D17" s="19"/>
      <c r="E17" s="20"/>
      <c r="F17" s="21"/>
    </row>
    <row r="18" spans="1:6" x14ac:dyDescent="0.2">
      <c r="A18" s="22"/>
      <c r="B18" s="23"/>
      <c r="C18" s="22"/>
      <c r="D18" s="24"/>
      <c r="E18" s="24"/>
      <c r="F18" s="22"/>
    </row>
    <row r="19" spans="1:6" ht="12.75" customHeight="1" x14ac:dyDescent="0.2">
      <c r="A19" s="25"/>
      <c r="B19" s="25"/>
      <c r="C19" s="29"/>
      <c r="D19" s="29"/>
      <c r="E19" s="29"/>
      <c r="F19" s="29"/>
    </row>
    <row r="20" spans="1:6" ht="12.75" customHeight="1" x14ac:dyDescent="0.2">
      <c r="A20" s="25"/>
      <c r="B20" s="25"/>
      <c r="C20" s="29"/>
      <c r="D20" s="29"/>
      <c r="E20" s="29"/>
      <c r="F20" s="29"/>
    </row>
    <row r="21" spans="1:6" x14ac:dyDescent="0.2"/>
    <row r="22" spans="1:6" x14ac:dyDescent="0.2"/>
    <row r="23" spans="1:6" x14ac:dyDescent="0.2">
      <c r="A23" s="23"/>
      <c r="B23" s="23"/>
      <c r="C23" s="23"/>
      <c r="D23" s="23"/>
      <c r="E23" s="23"/>
      <c r="F23" s="23"/>
    </row>
    <row r="24" spans="1:6" x14ac:dyDescent="0.2">
      <c r="A24" s="23"/>
      <c r="B24" s="23"/>
      <c r="C24" s="23"/>
      <c r="D24" s="23"/>
      <c r="E24" s="23"/>
      <c r="F24" s="23"/>
    </row>
    <row r="25" spans="1:6" x14ac:dyDescent="0.2">
      <c r="A25" s="23"/>
      <c r="B25" s="23"/>
      <c r="C25" s="23"/>
      <c r="D25" s="23"/>
      <c r="E25" s="23"/>
      <c r="F25" s="23"/>
    </row>
    <row r="26" spans="1:6" x14ac:dyDescent="0.2">
      <c r="A26" s="23"/>
      <c r="B26" s="23"/>
      <c r="C26" s="23"/>
      <c r="D26" s="23"/>
      <c r="E26" s="23"/>
      <c r="F26" s="23"/>
    </row>
    <row r="27" spans="1:6" x14ac:dyDescent="0.2">
      <c r="A27" s="23"/>
      <c r="B27" s="23"/>
      <c r="C27" s="23"/>
      <c r="D27" s="23"/>
      <c r="E27" s="23"/>
      <c r="F27" s="23"/>
    </row>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5:F1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sign-off'!$A$39:$A$40</xm:f>
          </x14:formula1>
          <xm:sqref>C11:C14</xm:sqref>
        </x14:dataValidation>
        <x14:dataValidation type="list" errorStyle="information" operator="greaterThan" allowBlank="1" showInputMessage="1" prompt="Provide specific $ value if possible">
          <x14:formula1>
            <xm:f>'Summary and sign-off'!$A$33:$A$38</xm:f>
          </x14:formula1>
          <xm:sqref>E11:E14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12165527-d881-4234-97f9-ee139a3f0c3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2019-02-06T21:47:25Z</cp:lastPrinted>
  <dcterms:created xsi:type="dcterms:W3CDTF">2010-10-17T20:59:02Z</dcterms:created>
  <dcterms:modified xsi:type="dcterms:W3CDTF">2019-07-25T02:51:31Z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