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3040" windowHeight="913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expenses'!$A$1:$E$17</definedName>
    <definedName name="_xlnm.Print_Area" localSheetId="4">'Gifts and benefits'!$A$1:$F$20</definedName>
    <definedName name="_xlnm.Print_Area" localSheetId="2">Hospitality!$A$1:$E$18</definedName>
    <definedName name="_xlnm.Print_Area" localSheetId="0">'Summary and sign-off'!$A$1:$F$18</definedName>
    <definedName name="_xlnm.Print_Area" localSheetId="1">Travel!$A$1:$E$84</definedName>
  </definedNames>
  <calcPr calcId="145621"/>
</workbook>
</file>

<file path=xl/calcChain.xml><?xml version="1.0" encoding="utf-8"?>
<calcChain xmlns="http://schemas.openxmlformats.org/spreadsheetml/2006/main">
  <c r="B66" i="1" l="1"/>
  <c r="B62" i="1"/>
  <c r="B61" i="1"/>
  <c r="B60" i="1"/>
  <c r="B59" i="1"/>
  <c r="B20" i="1"/>
  <c r="B18" i="1" l="1"/>
  <c r="B17" i="1" l="1"/>
  <c r="B53" i="1"/>
  <c r="B51" i="1"/>
  <c r="B47" i="1"/>
  <c r="B49" i="1"/>
  <c r="B13" i="1"/>
  <c r="B15" i="1"/>
  <c r="B16" i="1"/>
  <c r="B45" i="1"/>
  <c r="B43" i="1"/>
  <c r="B40" i="1"/>
  <c r="B41" i="1"/>
  <c r="B39" i="1"/>
  <c r="B37" i="1"/>
  <c r="B36" i="1"/>
  <c r="B35" i="1"/>
  <c r="B34" i="1"/>
  <c r="B33" i="1"/>
  <c r="B32" i="1"/>
  <c r="B30" i="1"/>
  <c r="B13" i="3" l="1"/>
  <c r="B54" i="1" l="1"/>
  <c r="B6" i="13" l="1"/>
  <c r="E53" i="13"/>
  <c r="C53" i="13"/>
  <c r="C19" i="4"/>
  <c r="C18" i="4"/>
  <c r="B53" i="13" l="1"/>
  <c r="B52" i="13"/>
  <c r="D52" i="13"/>
  <c r="B51" i="13"/>
  <c r="D51" i="13"/>
  <c r="D50" i="13"/>
  <c r="B50" i="13"/>
  <c r="D49" i="13"/>
  <c r="B49" i="13"/>
  <c r="D48" i="13"/>
  <c r="B48" i="13"/>
  <c r="B2" i="4"/>
  <c r="B3" i="4"/>
  <c r="B2" i="3"/>
  <c r="B3" i="3"/>
  <c r="B2" i="2"/>
  <c r="B3" i="2"/>
  <c r="B2" i="1"/>
  <c r="B3" i="1"/>
  <c r="F51" i="13" l="1"/>
  <c r="F53" i="13"/>
  <c r="F52" i="13"/>
  <c r="F50" i="13"/>
  <c r="F49" i="13"/>
  <c r="F48" i="13"/>
  <c r="C13" i="13"/>
  <c r="C12" i="13"/>
  <c r="C11" i="13"/>
  <c r="C16" i="13" l="1"/>
  <c r="C17" i="13"/>
  <c r="B5" i="4" l="1"/>
  <c r="B4" i="4"/>
  <c r="B5" i="3"/>
  <c r="B4" i="3"/>
  <c r="B5" i="2"/>
  <c r="B4" i="2"/>
  <c r="B5" i="1"/>
  <c r="B4" i="1"/>
  <c r="C15" i="13" l="1"/>
  <c r="F12" i="13" l="1"/>
  <c r="C17" i="4"/>
  <c r="F11" i="13" s="1"/>
  <c r="F13" i="13" l="1"/>
  <c r="B81" i="1"/>
  <c r="B17" i="13" s="1"/>
  <c r="B73" i="1"/>
  <c r="B16" i="13" s="1"/>
  <c r="B25" i="1"/>
  <c r="B15" i="13" s="1"/>
  <c r="B16" i="3" l="1"/>
  <c r="B13" i="13" s="1"/>
  <c r="B17" i="2"/>
  <c r="B12" i="13" s="1"/>
  <c r="B11" i="13" l="1"/>
  <c r="B83"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8" authorId="0">
      <text>
        <r>
          <rPr>
            <sz val="9"/>
            <color indexed="81"/>
            <rFont val="Tahoma"/>
            <family val="2"/>
          </rPr>
          <t xml:space="preserve">
Insert additional rows as needed:
- 'right click' on a row number (left of screen)
- select 'Insert' (this will insert a row above it)
</t>
        </r>
      </text>
    </comment>
    <comment ref="A76"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<sst xmlns="http://schemas.openxmlformats.org/spreadsheetml/2006/main" count="261" uniqueCount="161">
  <si>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</si>
  <si>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</si>
  <si>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</si>
  <si>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</si>
  <si>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</si>
  <si>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</si>
  <si>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</si>
  <si>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</si>
  <si>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</si>
  <si>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</si>
  <si>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</si>
  <si>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</si>
  <si>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</si>
  <si>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</si>
  <si>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</si>
  <si>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</si>
  <si>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</si>
  <si>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</si>
  <si>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</si>
  <si>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</si>
  <si>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</si>
  <si>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</si>
  <si>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</si>
  <si>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</si>
  <si>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</si>
  <si>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</si>
  <si>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</si>
  <si>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</si>
  <si>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</si>
  <si>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</si>
  <si>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</si>
  <si>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</si>
  <si>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</si>
  <si>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</si>
  <si>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</si>
  <si>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</si>
  <si>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</si>
  <si>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</si>
  <si>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</si>
  <si>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</si>
  <si>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</si>
  <si>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</si>
  <si>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</si>
  <si>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</si>
  <si>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</si>
  <si>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</si>
  <si>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</si>
  <si>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</si>
  <si>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</si>
  <si>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</si>
  <si>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</si>
  <si>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</si>
  <si>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</si>
  <si>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</si>
  <si>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</si>
  <si>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</si>
  <si>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</si>
  <si>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</si>
  <si>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</si>
  <si>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</si>
  <si>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</si>
  <si>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</si>
  <si>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</si>
  <si>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</si>
  <si>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</si>
  <si>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</si>
  <si>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</si>
  <si>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</si>
  <si>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</si>
  <si>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</si>
  <si>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</si>
  <si>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</si>
  <si>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</si>
  <si>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</si>
  <si>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</si>
  <si>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</si>
  <si>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</si>
  <si>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</si>
  <si>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</si>
  <si>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</si>
  <si>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</si>
  <si>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</si>
  <si>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</si>
  <si>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</si>
  <si>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</si>
  <si>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</si>
  <si>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</si>
  <si>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</si>
  <si>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</si>
  <si>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</si>
  <si>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</si>
  <si>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</si>
  <si>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</si>
  <si>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</si>
  <si>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</si>
  <si>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</si>
  <si>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</si>
  <si>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</si>
  <si>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</si>
  <si>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Christine Stevenson</t>
  </si>
  <si>
    <t>Flights</t>
  </si>
  <si>
    <t>Auckland</t>
  </si>
  <si>
    <t>Taxi</t>
  </si>
  <si>
    <t>Attedenance at International Womens Day Speaking event - Wellington</t>
  </si>
  <si>
    <t>Purchase of ticket</t>
  </si>
  <si>
    <t>Wellington</t>
  </si>
  <si>
    <t>Napier</t>
  </si>
  <si>
    <t>Christchurch</t>
  </si>
  <si>
    <t>Hamilton</t>
  </si>
  <si>
    <t>Australian High Commission</t>
  </si>
  <si>
    <t>Westpac Trans-Tasman Dinner 2019</t>
  </si>
  <si>
    <t>Air Zealand Wgtn Homeless Women's Trust Gala</t>
  </si>
  <si>
    <t>Air Zealand</t>
  </si>
  <si>
    <t>Taxis</t>
  </si>
  <si>
    <t>Northland</t>
  </si>
  <si>
    <t>Accomodation</t>
  </si>
  <si>
    <t>Mileage for March 2019</t>
  </si>
  <si>
    <t>Upper Hutt</t>
  </si>
  <si>
    <t>Rotorua</t>
  </si>
  <si>
    <t>Justice Hui</t>
  </si>
  <si>
    <t>05/04/19 - 06/04/19</t>
  </si>
  <si>
    <t>Sweden</t>
  </si>
  <si>
    <t>New Plymouth</t>
  </si>
  <si>
    <t>Dunedin</t>
  </si>
  <si>
    <t>Christchurch - Site Visits &amp; AOD House opening with Minister</t>
  </si>
  <si>
    <t>Phone and data costs</t>
  </si>
  <si>
    <t>N/A</t>
  </si>
  <si>
    <t>Auckland - Business Leaders' H&amp;S Forum meeting &amp; meeting with Stakeholders</t>
  </si>
  <si>
    <t>Auckland - Prisoner Welfare Governance Board site visit</t>
  </si>
  <si>
    <t>Monthly Cell phone charges, March &amp; April, May 2019</t>
  </si>
  <si>
    <t>To visit sites affected by 15th March events</t>
  </si>
  <si>
    <t>Hotel: Brussels</t>
  </si>
  <si>
    <t>Hotel: Stockholm</t>
  </si>
  <si>
    <t>Brussels</t>
  </si>
  <si>
    <t>Various</t>
  </si>
  <si>
    <t>Stockholm &amp; Brussels</t>
  </si>
  <si>
    <t>23/03/19 - 01/04/19</t>
  </si>
  <si>
    <t>Hotel: Auckland</t>
  </si>
  <si>
    <t>08/03/19 - 10/03/19</t>
  </si>
  <si>
    <t>Canberra &amp; Auckland</t>
  </si>
  <si>
    <t>Hotel: Canberra</t>
  </si>
  <si>
    <t>Meals</t>
  </si>
  <si>
    <t>To attend the Corrections Roundtable annual meeting</t>
  </si>
  <si>
    <t>To attend the Corrective Services Administrators Council meeting in Canberra</t>
  </si>
  <si>
    <t>and Pre-Budget Announcement with Minister in Northland Region</t>
  </si>
  <si>
    <t>MPI/Corrections One Billion Trees Announcement with Minister</t>
  </si>
  <si>
    <t>Otago Region site visits</t>
  </si>
  <si>
    <t>Auckland District site visits</t>
  </si>
  <si>
    <t>New Plymouth District site visits</t>
  </si>
  <si>
    <t>Northern Region site visits</t>
  </si>
  <si>
    <t>Auckland District site &amp; Stakeholder visits</t>
  </si>
  <si>
    <t>Christchurch - Attendance at Southern Government Women’s Network &amp; site visits</t>
  </si>
  <si>
    <t>Hamilton District site visits</t>
  </si>
  <si>
    <t>Hawkes Bay Region site and Stakeholder visits</t>
  </si>
  <si>
    <t>Christchurch site visits</t>
  </si>
  <si>
    <t>No information to disclose</t>
  </si>
  <si>
    <t>Rimutaka Prison</t>
  </si>
  <si>
    <t>Central Region - site visits &amp; CE Special Commendation presentation</t>
  </si>
  <si>
    <t>Northland Region site visits &amp; CE Special Commendation presentation</t>
  </si>
  <si>
    <t>Auckland District site &amp; Stakeholder visits &amp; CE Special Commendation presentation</t>
  </si>
  <si>
    <t>Approved by the Audit &amp; Risk Chairperson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</si>
</sst>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4659260841701"/>
      </right>
      <top style="thin">
        <color indexed="64"/>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s>
  <cellStyleXfs count="2">
    <xf numFmtId="0" fontId="0" fillId="0" borderId="0"/>
    <xf numFmtId="165" fontId="19"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4" xfId="0"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horizontal="center"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protection locked="0"/>
    </xf>
    <xf numFmtId="164" fontId="11" fillId="9" borderId="14" xfId="0" applyNumberFormat="1" applyFont="1" applyFill="1" applyBorder="1" applyAlignment="1" applyProtection="1">
      <alignment vertical="center" wrapText="1"/>
      <protection locked="0"/>
    </xf>
    <xf numFmtId="0" fontId="11" fillId="9" borderId="14" xfId="0" applyFont="1" applyFill="1" applyBorder="1" applyAlignment="1" applyProtection="1">
      <alignment horizontal="center" vertical="center" wrapText="1"/>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167" fontId="11" fillId="9" borderId="16" xfId="0" applyNumberFormat="1" applyFont="1" applyFill="1" applyBorder="1" applyAlignment="1" applyProtection="1">
      <alignment vertical="center"/>
      <protection locked="0"/>
    </xf>
    <xf numFmtId="164" fontId="11" fillId="9" borderId="17" xfId="0" applyNumberFormat="1" applyFont="1" applyFill="1" applyBorder="1" applyAlignment="1" applyProtection="1">
      <alignment vertical="center" wrapText="1"/>
      <protection locked="0"/>
    </xf>
    <xf numFmtId="0" fontId="11" fillId="9"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vertical="center" wrapText="1"/>
      <protection locked="0"/>
    </xf>
    <xf numFmtId="0" fontId="11" fillId="9" borderId="18" xfId="0" applyFont="1" applyFill="1" applyBorder="1" applyAlignment="1" applyProtection="1">
      <alignment vertical="center" wrapText="1"/>
      <protection locked="0"/>
    </xf>
    <xf numFmtId="14" fontId="11" fillId="9" borderId="14" xfId="0" applyNumberFormat="1" applyFont="1" applyFill="1" applyBorder="1" applyAlignment="1" applyProtection="1">
      <alignment horizontal="center" vertical="center" wrapText="1"/>
      <protection locked="0"/>
    </xf>
    <xf numFmtId="167" fontId="11" fillId="9" borderId="7" xfId="0" applyNumberFormat="1" applyFont="1" applyFill="1" applyBorder="1" applyAlignment="1" applyProtection="1">
      <alignment vertical="center"/>
      <protection locked="0"/>
    </xf>
    <xf numFmtId="0" fontId="11" fillId="9" borderId="8" xfId="0" applyFont="1" applyFill="1" applyBorder="1" applyAlignment="1" applyProtection="1">
      <alignment horizontal="center" vertical="center" wrapText="1"/>
      <protection locked="0"/>
    </xf>
    <xf numFmtId="167" fontId="11" fillId="9" borderId="19" xfId="0" applyNumberFormat="1" applyFont="1" applyFill="1" applyBorder="1" applyAlignment="1" applyProtection="1">
      <alignment vertical="center"/>
      <protection locked="0"/>
    </xf>
    <xf numFmtId="164" fontId="11" fillId="9" borderId="20" xfId="0" applyNumberFormat="1" applyFont="1" applyFill="1" applyBorder="1" applyAlignment="1" applyProtection="1">
      <alignment vertical="center" wrapText="1"/>
      <protection locked="0"/>
    </xf>
    <xf numFmtId="0" fontId="11" fillId="9" borderId="20" xfId="0" applyFont="1" applyFill="1" applyBorder="1" applyAlignment="1" applyProtection="1">
      <alignment horizontal="center" vertical="center" wrapText="1"/>
      <protection locked="0"/>
    </xf>
    <xf numFmtId="0" fontId="11" fillId="9" borderId="20" xfId="0" applyFont="1" applyFill="1" applyBorder="1" applyAlignment="1" applyProtection="1">
      <alignment vertical="center" wrapText="1"/>
      <protection locked="0"/>
    </xf>
    <xf numFmtId="0" fontId="11" fillId="9" borderId="21" xfId="0" applyFont="1" applyFill="1" applyBorder="1" applyAlignment="1" applyProtection="1">
      <alignment vertical="center" wrapText="1"/>
      <protection locked="0"/>
    </xf>
    <xf numFmtId="167" fontId="11" fillId="9" borderId="22" xfId="0" applyNumberFormat="1" applyFont="1" applyFill="1" applyBorder="1" applyAlignment="1" applyProtection="1">
      <alignment vertical="center"/>
      <protection locked="0"/>
    </xf>
    <xf numFmtId="0" fontId="11" fillId="9" borderId="23" xfId="0" applyFont="1" applyFill="1" applyBorder="1" applyAlignment="1" applyProtection="1">
      <alignment vertical="center" wrapText="1"/>
      <protection locked="0"/>
    </xf>
    <xf numFmtId="0" fontId="11" fillId="9" borderId="24" xfId="0" applyFont="1" applyFill="1" applyBorder="1" applyAlignment="1" applyProtection="1">
      <alignment vertical="center" wrapText="1"/>
      <protection locked="0"/>
    </xf>
    <xf numFmtId="0" fontId="11" fillId="9" borderId="25" xfId="0" applyFont="1" applyFill="1" applyBorder="1" applyAlignment="1" applyProtection="1">
      <alignment horizontal="center" vertical="center" wrapText="1"/>
      <protection locked="0"/>
    </xf>
    <xf numFmtId="14" fontId="11" fillId="9" borderId="23" xfId="0" applyNumberFormat="1" applyFont="1" applyFill="1" applyBorder="1" applyAlignment="1" applyProtection="1">
      <alignment horizontal="center" vertical="center" wrapText="1"/>
      <protection locked="0"/>
    </xf>
    <xf numFmtId="167" fontId="11" fillId="9" borderId="26" xfId="0" applyNumberFormat="1" applyFont="1" applyFill="1" applyBorder="1" applyAlignment="1" applyProtection="1">
      <alignment vertical="center"/>
      <protection locked="0"/>
    </xf>
    <xf numFmtId="164" fontId="11" fillId="9" borderId="27" xfId="0" applyNumberFormat="1" applyFont="1" applyFill="1" applyBorder="1" applyAlignment="1" applyProtection="1">
      <alignment vertical="center" wrapText="1"/>
      <protection locked="0"/>
    </xf>
    <xf numFmtId="0" fontId="11" fillId="9" borderId="27" xfId="0" applyFont="1" applyFill="1" applyBorder="1" applyAlignment="1" applyProtection="1">
      <alignment horizontal="center" vertical="center" wrapText="1"/>
      <protection locked="0"/>
    </xf>
    <xf numFmtId="0" fontId="11" fillId="9" borderId="27" xfId="0" applyFont="1" applyFill="1" applyBorder="1" applyAlignment="1" applyProtection="1">
      <alignment vertical="center" wrapText="1"/>
      <protection locked="0"/>
    </xf>
    <xf numFmtId="0" fontId="11" fillId="9" borderId="28" xfId="0" applyFont="1" applyFill="1" applyBorder="1" applyAlignment="1" applyProtection="1">
      <alignment vertical="center" wrapText="1"/>
      <protection locked="0"/>
    </xf>
    <xf numFmtId="164" fontId="11" fillId="9" borderId="23" xfId="0" applyNumberFormat="1" applyFont="1" applyFill="1" applyBorder="1" applyAlignment="1" applyProtection="1">
      <alignment vertical="center" wrapText="1"/>
      <protection locked="0"/>
    </xf>
    <xf numFmtId="14" fontId="11" fillId="9" borderId="11"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9" t="s">
        <v>53</v>
      </c>
      <c r="B1" s="159"/>
      <c r="C1" s="159"/>
      <c r="D1" s="159"/>
      <c r="E1" s="159"/>
      <c r="F1" s="159"/>
      <c r="G1" s="38"/>
      <c r="H1" s="38"/>
      <c r="I1" s="38"/>
      <c r="J1" s="38"/>
      <c r="K1" s="38"/>
    </row>
    <row r="2" spans="1:11" ht="21" customHeight="1" x14ac:dyDescent="0.2">
      <c r="A2" s="4" t="s">
        <v>2</v>
      </c>
      <c r="B2" s="160" t="s">
        <v>98</v>
      </c>
      <c r="C2" s="160"/>
      <c r="D2" s="160"/>
      <c r="E2" s="160"/>
      <c r="F2" s="160"/>
      <c r="G2" s="38"/>
      <c r="H2" s="38"/>
      <c r="I2" s="38"/>
      <c r="J2" s="38"/>
      <c r="K2" s="38"/>
    </row>
    <row r="3" spans="1:11" ht="21" customHeight="1" x14ac:dyDescent="0.2">
      <c r="A3" s="4" t="s">
        <v>54</v>
      </c>
      <c r="B3" s="160" t="s">
        <v>99</v>
      </c>
      <c r="C3" s="160"/>
      <c r="D3" s="160"/>
      <c r="E3" s="160"/>
      <c r="F3" s="160"/>
      <c r="G3" s="38"/>
      <c r="H3" s="38"/>
      <c r="I3" s="38"/>
      <c r="J3" s="38"/>
      <c r="K3" s="38"/>
    </row>
    <row r="4" spans="1:11" ht="21" customHeight="1" x14ac:dyDescent="0.2">
      <c r="A4" s="4" t="s">
        <v>39</v>
      </c>
      <c r="B4" s="161">
        <v>43500</v>
      </c>
      <c r="C4" s="161"/>
      <c r="D4" s="161"/>
      <c r="E4" s="161"/>
      <c r="F4" s="161"/>
      <c r="G4" s="38"/>
      <c r="H4" s="38"/>
      <c r="I4" s="38"/>
      <c r="J4" s="38"/>
      <c r="K4" s="38"/>
    </row>
    <row r="5" spans="1:11" ht="21" customHeight="1" x14ac:dyDescent="0.2">
      <c r="A5" s="4" t="s">
        <v>40</v>
      </c>
      <c r="B5" s="161">
        <v>43646</v>
      </c>
      <c r="C5" s="161"/>
      <c r="D5" s="161"/>
      <c r="E5" s="161"/>
      <c r="F5" s="161"/>
      <c r="G5" s="38"/>
      <c r="H5" s="38"/>
      <c r="I5" s="38"/>
      <c r="J5" s="38"/>
      <c r="K5" s="38"/>
    </row>
    <row r="6" spans="1:11" ht="21" customHeight="1" x14ac:dyDescent="0.2">
      <c r="A6" s="4" t="s">
        <v>57</v>
      </c>
      <c r="B6" s="158" t="str">
        <f>IF(AND(Travel!B7&lt;&gt;A24,Hospitality!B7&lt;&gt;A24,'All other expenses'!B7&lt;&gt;A24,'Gifts and benefits'!B7&lt;&gt;A24),A25,IF(AND(Travel!B7=A24,Hospitality!B7=A24,'All other expenses'!B7=A24,'Gifts and benefits'!B7=A24),A27,A26))</f>
        <v>Data and totals checked on all sheets</v>
      </c>
      <c r="C6" s="158"/>
      <c r="D6" s="158"/>
      <c r="E6" s="158"/>
      <c r="F6" s="158"/>
      <c r="G6" s="30"/>
      <c r="H6" s="38"/>
      <c r="I6" s="38"/>
      <c r="J6" s="38"/>
      <c r="K6" s="38"/>
    </row>
    <row r="7" spans="1:11" ht="21" customHeight="1" x14ac:dyDescent="0.2">
      <c r="A7" s="4" t="s">
        <v>73</v>
      </c>
      <c r="B7" s="157" t="s">
        <v>30</v>
      </c>
      <c r="C7" s="157"/>
      <c r="D7" s="157"/>
      <c r="E7" s="157"/>
      <c r="F7" s="157"/>
      <c r="G7" s="30"/>
      <c r="H7" s="38"/>
      <c r="I7" s="38"/>
      <c r="J7" s="38"/>
      <c r="K7" s="38"/>
    </row>
    <row r="8" spans="1:11" ht="21" customHeight="1" x14ac:dyDescent="0.2">
      <c r="A8" s="4" t="s">
        <v>55</v>
      </c>
      <c r="B8" s="157" t="s">
        <v>160</v>
      </c>
      <c r="C8" s="157"/>
      <c r="D8" s="157"/>
      <c r="E8" s="157"/>
      <c r="F8" s="157"/>
      <c r="G8" s="30"/>
      <c r="H8" s="38"/>
      <c r="I8" s="38"/>
      <c r="J8" s="38"/>
      <c r="K8" s="38"/>
    </row>
    <row r="9" spans="1:11" ht="66.75" customHeight="1" x14ac:dyDescent="0.2">
      <c r="A9" s="156"/>
      <c r="B9" s="156"/>
      <c r="C9" s="156"/>
      <c r="D9" s="156"/>
      <c r="E9" s="156"/>
      <c r="F9" s="156"/>
      <c r="G9" s="30"/>
      <c r="H9" s="38"/>
      <c r="I9" s="38"/>
      <c r="J9" s="38"/>
      <c r="K9" s="38"/>
    </row>
    <row r="10" spans="1:11" s="119" customFormat="1" ht="36" customHeight="1" x14ac:dyDescent="0.2">
      <c r="A10" s="113" t="s">
        <v>26</v>
      </c>
      <c r="B10" s="114" t="s">
        <v>10</v>
      </c>
      <c r="C10" s="114" t="s">
        <v>32</v>
      </c>
      <c r="D10" s="115"/>
      <c r="E10" s="116" t="s">
        <v>25</v>
      </c>
      <c r="F10" s="117" t="s">
        <v>34</v>
      </c>
      <c r="G10" s="118"/>
      <c r="H10" s="118"/>
      <c r="I10" s="118"/>
      <c r="J10" s="118"/>
      <c r="K10" s="118"/>
    </row>
    <row r="11" spans="1:11" ht="27.75" customHeight="1" x14ac:dyDescent="0.2">
      <c r="A11" s="11" t="s">
        <v>43</v>
      </c>
      <c r="B11" s="67">
        <f>B15+B16+B17</f>
        <v>23448.639999999999</v>
      </c>
      <c r="C11" s="74" t="str">
        <f>IF(Travel!B6="",A28,Travel!B6)</f>
        <v>Figures exclude GST</v>
      </c>
      <c r="D11" s="8"/>
      <c r="E11" s="11" t="s">
        <v>50</v>
      </c>
      <c r="F11" s="45">
        <f>'Gifts and benefits'!C17</f>
        <v>2</v>
      </c>
      <c r="G11" s="39"/>
      <c r="H11" s="39"/>
      <c r="I11" s="39"/>
      <c r="J11" s="39"/>
      <c r="K11" s="39"/>
    </row>
    <row r="12" spans="1:11" ht="27.75" customHeight="1" x14ac:dyDescent="0.2">
      <c r="A12" s="11" t="s">
        <v>6</v>
      </c>
      <c r="B12" s="67">
        <f>Hospitality!B17</f>
        <v>0</v>
      </c>
      <c r="C12" s="74" t="str">
        <f>IF(Hospitality!B6="",A28,Hospitality!B6)</f>
        <v>Figures include GST (where applicable)</v>
      </c>
      <c r="D12" s="8"/>
      <c r="E12" s="11" t="s">
        <v>51</v>
      </c>
      <c r="F12" s="45">
        <f>'Gifts and benefits'!C18</f>
        <v>0</v>
      </c>
      <c r="G12" s="39"/>
      <c r="H12" s="39"/>
      <c r="I12" s="39"/>
      <c r="J12" s="39"/>
      <c r="K12" s="39"/>
    </row>
    <row r="13" spans="1:11" ht="27.75" customHeight="1" x14ac:dyDescent="0.2">
      <c r="A13" s="11" t="s">
        <v>9</v>
      </c>
      <c r="B13" s="67">
        <f>'All other expenses'!B16</f>
        <v>242.35</v>
      </c>
      <c r="C13" s="74" t="str">
        <f>IF('All other expenses'!B6="",A28,'All other expenses'!B6)</f>
        <v>Figures exclude GST</v>
      </c>
      <c r="D13" s="8"/>
      <c r="E13" s="11" t="s">
        <v>52</v>
      </c>
      <c r="F13" s="45">
        <f>'Gifts and benefits'!C19</f>
        <v>2</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Travel!B25</f>
        <v>13442.72</v>
      </c>
      <c r="C15" s="76" t="str">
        <f>C11</f>
        <v>Figures exclude GST</v>
      </c>
      <c r="D15" s="8"/>
      <c r="E15" s="8"/>
      <c r="F15" s="47"/>
      <c r="G15" s="38"/>
      <c r="H15" s="38"/>
      <c r="I15" s="38"/>
      <c r="J15" s="38"/>
      <c r="K15" s="38"/>
    </row>
    <row r="16" spans="1:11" ht="27.75" customHeight="1" x14ac:dyDescent="0.2">
      <c r="A16" s="12" t="s">
        <v>47</v>
      </c>
      <c r="B16" s="69">
        <f>Travel!B73</f>
        <v>10005.92</v>
      </c>
      <c r="C16" s="76" t="str">
        <f>C11</f>
        <v>Figures exclude GST</v>
      </c>
      <c r="D16" s="48"/>
      <c r="E16" s="8"/>
      <c r="F16" s="49"/>
      <c r="G16" s="38"/>
      <c r="H16" s="38"/>
      <c r="I16" s="38"/>
      <c r="J16" s="38"/>
      <c r="K16" s="38"/>
    </row>
    <row r="17" spans="1:11" ht="27.75" customHeight="1" x14ac:dyDescent="0.2">
      <c r="A17" s="12" t="s">
        <v>24</v>
      </c>
      <c r="B17" s="69">
        <f>Travel!B81</f>
        <v>0</v>
      </c>
      <c r="C17" s="76" t="str">
        <f>C11</f>
        <v>Figures exclude GST</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hidden="1" x14ac:dyDescent="0.2">
      <c r="A19" s="15" t="s">
        <v>81</v>
      </c>
      <c r="B19" s="16"/>
      <c r="C19" s="16"/>
      <c r="D19" s="16"/>
      <c r="E19" s="16"/>
      <c r="F19" s="16"/>
      <c r="G19" s="38"/>
      <c r="H19" s="38"/>
      <c r="I19" s="38"/>
      <c r="J19" s="38"/>
      <c r="K19" s="38"/>
    </row>
    <row r="20" spans="1:11" ht="12.75" hidden="1" customHeight="1" x14ac:dyDescent="0.2">
      <c r="A20" s="14" t="s">
        <v>91</v>
      </c>
      <c r="B20" s="6"/>
      <c r="C20" s="6"/>
      <c r="D20" s="14"/>
      <c r="E20" s="14"/>
      <c r="F20" s="14"/>
      <c r="G20" s="38"/>
      <c r="H20" s="38"/>
      <c r="I20" s="38"/>
      <c r="J20" s="38"/>
      <c r="K20" s="38"/>
    </row>
    <row r="21" spans="1:11" hidden="1" x14ac:dyDescent="0.2">
      <c r="A21" s="13" t="s">
        <v>31</v>
      </c>
      <c r="B21" s="13"/>
      <c r="C21" s="13"/>
      <c r="D21" s="13"/>
      <c r="E21" s="13"/>
      <c r="F21" s="13"/>
      <c r="G21" s="38"/>
      <c r="H21" s="38"/>
      <c r="I21" s="38"/>
      <c r="J21" s="38"/>
      <c r="K21" s="38"/>
    </row>
    <row r="22" spans="1:11" hidden="1" x14ac:dyDescent="0.2">
      <c r="A22" s="13" t="s">
        <v>7</v>
      </c>
      <c r="B22" s="13"/>
      <c r="C22" s="13"/>
      <c r="D22" s="13"/>
      <c r="E22" s="13"/>
      <c r="F22" s="13"/>
      <c r="G22" s="38"/>
      <c r="H22" s="38"/>
      <c r="I22" s="38"/>
      <c r="J22" s="38"/>
      <c r="K22" s="38"/>
    </row>
    <row r="23" spans="1:11" hidden="1" x14ac:dyDescent="0.2">
      <c r="A23" s="14" t="s">
        <v>67</v>
      </c>
      <c r="B23" s="14"/>
      <c r="C23" s="14"/>
      <c r="D23" s="14"/>
      <c r="E23" s="14"/>
      <c r="F23" s="14"/>
      <c r="G23" s="38"/>
      <c r="H23" s="38"/>
      <c r="I23" s="38"/>
      <c r="J23" s="38"/>
      <c r="K23" s="38"/>
    </row>
    <row r="24" spans="1:11" hidden="1" x14ac:dyDescent="0.2">
      <c r="A24" s="14" t="s">
        <v>68</v>
      </c>
      <c r="B24" s="14"/>
      <c r="C24" s="14"/>
      <c r="D24" s="14"/>
      <c r="E24" s="14"/>
      <c r="F24" s="14"/>
      <c r="G24" s="38"/>
      <c r="H24" s="38"/>
      <c r="I24" s="38"/>
      <c r="J24" s="38"/>
      <c r="K24" s="38"/>
    </row>
    <row r="25" spans="1:11" hidden="1" x14ac:dyDescent="0.2">
      <c r="A25" s="13" t="s">
        <v>59</v>
      </c>
      <c r="B25" s="13"/>
      <c r="C25" s="13"/>
      <c r="D25" s="13"/>
      <c r="E25" s="13"/>
      <c r="F25" s="13"/>
      <c r="G25" s="38"/>
      <c r="H25" s="38"/>
      <c r="I25" s="38"/>
      <c r="J25" s="38"/>
      <c r="K25" s="38"/>
    </row>
    <row r="26" spans="1:11" hidden="1" x14ac:dyDescent="0.2">
      <c r="A26" s="13" t="s">
        <v>60</v>
      </c>
      <c r="B26" s="13"/>
      <c r="C26" s="13"/>
      <c r="D26" s="13"/>
      <c r="E26" s="13"/>
      <c r="F26" s="13"/>
      <c r="G26" s="38"/>
      <c r="H26" s="38"/>
      <c r="I26" s="38"/>
      <c r="J26" s="38"/>
      <c r="K26" s="38"/>
    </row>
    <row r="27" spans="1:11" hidden="1" x14ac:dyDescent="0.2">
      <c r="A27" s="13" t="s">
        <v>58</v>
      </c>
      <c r="B27" s="13"/>
      <c r="C27" s="13"/>
      <c r="D27" s="13"/>
      <c r="E27" s="13"/>
      <c r="F27" s="13"/>
      <c r="G27" s="38"/>
      <c r="H27" s="38"/>
      <c r="I27" s="38"/>
      <c r="J27" s="38"/>
      <c r="K27" s="38"/>
    </row>
    <row r="28" spans="1:11" hidden="1" x14ac:dyDescent="0.2">
      <c r="A28" s="14" t="s">
        <v>33</v>
      </c>
      <c r="B28" s="14"/>
      <c r="C28" s="14"/>
      <c r="D28" s="14"/>
      <c r="E28" s="14"/>
      <c r="F28" s="14"/>
      <c r="G28" s="38"/>
      <c r="H28" s="38"/>
      <c r="I28" s="38"/>
      <c r="J28" s="38"/>
      <c r="K28" s="38"/>
    </row>
    <row r="29" spans="1:11" hidden="1" x14ac:dyDescent="0.2">
      <c r="A29" s="14" t="s">
        <v>35</v>
      </c>
      <c r="B29" s="14"/>
      <c r="C29" s="14"/>
      <c r="D29" s="14"/>
      <c r="E29" s="14"/>
      <c r="F29" s="14"/>
      <c r="G29" s="38"/>
      <c r="H29" s="38"/>
      <c r="I29" s="38"/>
      <c r="J29" s="38"/>
      <c r="K29" s="38"/>
    </row>
    <row r="30" spans="1:11" hidden="1" x14ac:dyDescent="0.2">
      <c r="A30" s="72" t="s">
        <v>49</v>
      </c>
      <c r="B30" s="71"/>
      <c r="C30" s="71"/>
      <c r="D30" s="71"/>
      <c r="E30" s="71"/>
      <c r="F30" s="71"/>
      <c r="G30" s="38"/>
      <c r="H30" s="38"/>
      <c r="I30" s="38"/>
      <c r="J30" s="38"/>
      <c r="K30" s="38"/>
    </row>
    <row r="31" spans="1:11" hidden="1" x14ac:dyDescent="0.2">
      <c r="A31" s="72" t="s">
        <v>30</v>
      </c>
      <c r="B31" s="71"/>
      <c r="C31" s="71"/>
      <c r="D31" s="71"/>
      <c r="E31" s="71"/>
      <c r="F31" s="71"/>
      <c r="G31" s="38"/>
      <c r="H31" s="38"/>
      <c r="I31" s="38"/>
      <c r="J31" s="38"/>
      <c r="K31" s="38"/>
    </row>
    <row r="32" spans="1:11" hidden="1" x14ac:dyDescent="0.2">
      <c r="A32" s="52" t="s">
        <v>16</v>
      </c>
      <c r="B32" s="5"/>
      <c r="C32" s="5"/>
      <c r="D32" s="5"/>
      <c r="E32" s="5"/>
      <c r="F32" s="5"/>
      <c r="G32" s="38"/>
      <c r="H32" s="38"/>
      <c r="I32" s="38"/>
      <c r="J32" s="38"/>
      <c r="K32" s="38"/>
    </row>
    <row r="33" spans="1:11" hidden="1" x14ac:dyDescent="0.2">
      <c r="A33" s="53" t="s">
        <v>17</v>
      </c>
      <c r="B33" s="5"/>
      <c r="C33" s="5"/>
      <c r="D33" s="5"/>
      <c r="E33" s="5"/>
      <c r="F33" s="5"/>
      <c r="G33" s="38"/>
      <c r="H33" s="38"/>
      <c r="I33" s="38"/>
      <c r="J33" s="38"/>
      <c r="K33" s="38"/>
    </row>
    <row r="34" spans="1:11" hidden="1" x14ac:dyDescent="0.2">
      <c r="A34" s="53" t="s">
        <v>19</v>
      </c>
      <c r="B34" s="5"/>
      <c r="C34" s="5"/>
      <c r="D34" s="5"/>
      <c r="E34" s="5"/>
      <c r="F34" s="5"/>
      <c r="G34" s="38"/>
      <c r="H34" s="38"/>
      <c r="I34" s="38"/>
      <c r="J34" s="38"/>
      <c r="K34" s="38"/>
    </row>
    <row r="35" spans="1:11" hidden="1" x14ac:dyDescent="0.2">
      <c r="A35" s="53" t="s">
        <v>18</v>
      </c>
      <c r="B35" s="5"/>
      <c r="C35" s="5"/>
      <c r="D35" s="5"/>
      <c r="E35" s="5"/>
      <c r="F35" s="5"/>
      <c r="G35" s="38"/>
      <c r="H35" s="38"/>
      <c r="I35" s="38"/>
      <c r="J35" s="38"/>
      <c r="K35" s="38"/>
    </row>
    <row r="36" spans="1:11" hidden="1" x14ac:dyDescent="0.2">
      <c r="A36" s="53" t="s">
        <v>20</v>
      </c>
      <c r="B36" s="5"/>
      <c r="C36" s="5"/>
      <c r="D36" s="5"/>
      <c r="E36" s="5"/>
      <c r="F36" s="5"/>
      <c r="G36" s="38"/>
      <c r="H36" s="38"/>
      <c r="I36" s="38"/>
      <c r="J36" s="38"/>
      <c r="K36" s="38"/>
    </row>
    <row r="37" spans="1:11" hidden="1" x14ac:dyDescent="0.2">
      <c r="A37" s="53" t="s">
        <v>21</v>
      </c>
      <c r="B37" s="5"/>
      <c r="C37" s="5"/>
      <c r="D37" s="5"/>
      <c r="E37" s="5"/>
      <c r="F37" s="5"/>
      <c r="G37" s="38"/>
      <c r="H37" s="38"/>
      <c r="I37" s="38"/>
      <c r="J37" s="38"/>
      <c r="K37" s="38"/>
    </row>
    <row r="38" spans="1:11" hidden="1" x14ac:dyDescent="0.2">
      <c r="A38" s="73" t="s">
        <v>15</v>
      </c>
      <c r="B38" s="71"/>
      <c r="C38" s="71"/>
      <c r="D38" s="71"/>
      <c r="E38" s="71"/>
      <c r="F38" s="71"/>
      <c r="G38" s="38"/>
      <c r="H38" s="38"/>
      <c r="I38" s="38"/>
      <c r="J38" s="38"/>
      <c r="K38" s="38"/>
    </row>
    <row r="39" spans="1:11" hidden="1" x14ac:dyDescent="0.2">
      <c r="A39" s="71" t="s">
        <v>13</v>
      </c>
      <c r="B39" s="71"/>
      <c r="C39" s="71"/>
      <c r="D39" s="71"/>
      <c r="E39" s="71"/>
      <c r="F39" s="71"/>
      <c r="G39" s="38"/>
      <c r="H39" s="38"/>
      <c r="I39" s="38"/>
      <c r="J39" s="38"/>
      <c r="K39" s="38"/>
    </row>
    <row r="40" spans="1:11" hidden="1" x14ac:dyDescent="0.2">
      <c r="A40" s="54">
        <v>-20000</v>
      </c>
      <c r="B40" s="5"/>
      <c r="C40" s="5"/>
      <c r="D40" s="5"/>
      <c r="E40" s="5"/>
      <c r="F40" s="5"/>
      <c r="G40" s="38"/>
      <c r="H40" s="38"/>
      <c r="I40" s="38"/>
      <c r="J40" s="38"/>
      <c r="K40" s="38"/>
    </row>
    <row r="41" spans="1:11" ht="25.5" hidden="1" x14ac:dyDescent="0.2">
      <c r="A41" s="107" t="s">
        <v>78</v>
      </c>
      <c r="B41" s="71"/>
      <c r="C41" s="71"/>
      <c r="D41" s="71"/>
      <c r="E41" s="71"/>
      <c r="F41" s="71"/>
      <c r="G41" s="38"/>
      <c r="H41" s="38"/>
      <c r="I41" s="38"/>
      <c r="J41" s="38"/>
      <c r="K41" s="38"/>
    </row>
    <row r="42" spans="1:11" ht="25.5" hidden="1" x14ac:dyDescent="0.2">
      <c r="A42" s="107" t="s">
        <v>77</v>
      </c>
      <c r="B42" s="71"/>
      <c r="C42" s="71"/>
      <c r="D42" s="71"/>
      <c r="E42" s="71"/>
      <c r="F42" s="71"/>
      <c r="G42" s="38"/>
      <c r="H42" s="38"/>
      <c r="I42" s="38"/>
      <c r="J42" s="38"/>
      <c r="K42" s="38"/>
    </row>
    <row r="43" spans="1:11" ht="25.5" hidden="1" x14ac:dyDescent="0.2">
      <c r="A43" s="108" t="s">
        <v>79</v>
      </c>
      <c r="B43" s="5"/>
      <c r="C43" s="5"/>
      <c r="D43" s="5"/>
      <c r="E43" s="5"/>
      <c r="F43" s="5"/>
      <c r="G43" s="38"/>
      <c r="H43" s="38"/>
      <c r="I43" s="38"/>
      <c r="J43" s="38"/>
      <c r="K43" s="38"/>
    </row>
    <row r="44" spans="1:11" ht="25.5" hidden="1" x14ac:dyDescent="0.2">
      <c r="A44" s="108" t="s">
        <v>65</v>
      </c>
      <c r="B44" s="5"/>
      <c r="C44" s="5"/>
      <c r="D44" s="5"/>
      <c r="E44" s="5"/>
      <c r="F44" s="5"/>
      <c r="G44" s="38"/>
      <c r="H44" s="38"/>
      <c r="I44" s="38"/>
      <c r="J44" s="38"/>
      <c r="K44" s="38"/>
    </row>
    <row r="45" spans="1:11" ht="38.25" hidden="1" x14ac:dyDescent="0.2">
      <c r="A45" s="108" t="s">
        <v>66</v>
      </c>
      <c r="B45" s="98"/>
      <c r="C45" s="98"/>
      <c r="D45" s="106"/>
      <c r="E45" s="55"/>
      <c r="F45" s="55"/>
      <c r="G45" s="38"/>
      <c r="H45" s="38"/>
      <c r="I45" s="38"/>
      <c r="J45" s="38"/>
      <c r="K45" s="38"/>
    </row>
    <row r="46" spans="1:11" hidden="1" x14ac:dyDescent="0.2">
      <c r="A46" s="103" t="s">
        <v>69</v>
      </c>
      <c r="B46" s="104"/>
      <c r="C46" s="104"/>
      <c r="D46" s="97"/>
      <c r="E46" s="56"/>
      <c r="F46" s="56" t="b">
        <v>1</v>
      </c>
      <c r="G46" s="38"/>
      <c r="H46" s="38"/>
      <c r="I46" s="38"/>
      <c r="J46" s="38"/>
      <c r="K46" s="38"/>
    </row>
    <row r="47" spans="1:11" hidden="1" x14ac:dyDescent="0.2">
      <c r="A47" s="105" t="s">
        <v>80</v>
      </c>
      <c r="B47" s="103"/>
      <c r="C47" s="103"/>
      <c r="D47" s="103"/>
      <c r="E47" s="56"/>
      <c r="F47" s="56" t="b">
        <v>0</v>
      </c>
      <c r="G47" s="38"/>
      <c r="H47" s="38"/>
      <c r="I47" s="38"/>
      <c r="J47" s="38"/>
      <c r="K47" s="38"/>
    </row>
    <row r="48" spans="1:11" hidden="1" x14ac:dyDescent="0.2">
      <c r="A48" s="109"/>
      <c r="B48" s="99">
        <f>COUNT(Travel!B12:B24)</f>
        <v>9</v>
      </c>
      <c r="C48" s="99"/>
      <c r="D48" s="99">
        <f>COUNTIF(Travel!D12:D24,"*")</f>
        <v>9</v>
      </c>
      <c r="E48" s="100"/>
      <c r="F48" s="100" t="b">
        <f>MIN(B48,D48)=MAX(B48,D48)</f>
        <v>1</v>
      </c>
      <c r="G48" s="38"/>
      <c r="H48" s="38"/>
      <c r="I48" s="38"/>
      <c r="J48" s="38"/>
      <c r="K48" s="38"/>
    </row>
    <row r="49" spans="1:6" hidden="1" x14ac:dyDescent="0.2">
      <c r="A49" s="109" t="s">
        <v>64</v>
      </c>
      <c r="B49" s="99">
        <f>COUNT(Travel!B29:B72)</f>
        <v>40</v>
      </c>
      <c r="C49" s="99"/>
      <c r="D49" s="99">
        <f>COUNTIF(Travel!D29:D72,"*")</f>
        <v>40</v>
      </c>
      <c r="E49" s="100"/>
      <c r="F49" s="100" t="b">
        <f>MIN(B49,D49)=MAX(B49,D49)</f>
        <v>1</v>
      </c>
    </row>
    <row r="50" spans="1:6" hidden="1" x14ac:dyDescent="0.2">
      <c r="A50" s="110"/>
      <c r="B50" s="99">
        <f>COUNT(Travel!B77:B80)</f>
        <v>0</v>
      </c>
      <c r="C50" s="99"/>
      <c r="D50" s="99">
        <f>COUNTIF(Travel!D77:D80,"*")</f>
        <v>0</v>
      </c>
      <c r="E50" s="100"/>
      <c r="F50" s="100" t="b">
        <f>MIN(B50,D50)=MAX(B50,D50)</f>
        <v>1</v>
      </c>
    </row>
    <row r="51" spans="1:6" hidden="1" x14ac:dyDescent="0.2">
      <c r="A51" s="111" t="s">
        <v>62</v>
      </c>
      <c r="B51" s="101">
        <f>COUNT(Hospitality!B11:B16)</f>
        <v>0</v>
      </c>
      <c r="C51" s="101"/>
      <c r="D51" s="101">
        <f>COUNTIF(Hospitality!D11:D16,"*")</f>
        <v>0</v>
      </c>
      <c r="E51" s="102"/>
      <c r="F51" s="102" t="b">
        <f>MIN(B51,D51)=MAX(B51,D51)</f>
        <v>1</v>
      </c>
    </row>
    <row r="52" spans="1:6" hidden="1" x14ac:dyDescent="0.2">
      <c r="A52" s="112" t="s">
        <v>63</v>
      </c>
      <c r="B52" s="100">
        <f>COUNT('All other expenses'!B11:B15)</f>
        <v>2</v>
      </c>
      <c r="C52" s="100"/>
      <c r="D52" s="100">
        <f>COUNTIF('All other expenses'!D11:D15,"*")</f>
        <v>2</v>
      </c>
      <c r="E52" s="100"/>
      <c r="F52" s="100" t="b">
        <f>MIN(B52,D52)=MAX(B52,D52)</f>
        <v>1</v>
      </c>
    </row>
    <row r="53" spans="1:6" hidden="1" x14ac:dyDescent="0.2">
      <c r="A53" s="111" t="s">
        <v>61</v>
      </c>
      <c r="B53" s="101">
        <f>COUNTIF('Gifts and benefits'!B11:B16,"*")</f>
        <v>2</v>
      </c>
      <c r="C53" s="101">
        <f>COUNTIF('Gifts and benefits'!C11:C16,"*")</f>
        <v>2</v>
      </c>
      <c r="D53" s="101"/>
      <c r="E53" s="101">
        <f>COUNTA('Gifts and benefits'!E11:E16)</f>
        <v>0</v>
      </c>
      <c r="F53" s="102" t="b">
        <f>MIN(B53,C53,E53)=MAX(B53,C53,E53)</f>
        <v>0</v>
      </c>
    </row>
    <row r="54" spans="1:6"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6"/>
  <sheetViews>
    <sheetView topLeftCell="A52" zoomScaleNormal="100" workbookViewId="0">
      <selection activeCell="A85" sqref="A85:XFD93"/>
    </sheetView>
  </sheetViews>
  <sheetFormatPr defaultColWidth="0" defaultRowHeight="12.75" zeroHeight="1" x14ac:dyDescent="0.2"/>
  <cols>
    <col min="1" max="1" width="35.7109375" style="17" customWidth="1"/>
    <col min="2" max="2" width="14.28515625" style="17" customWidth="1"/>
    <col min="3" max="3" width="74.285156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9" t="s">
        <v>5</v>
      </c>
      <c r="B1" s="159"/>
      <c r="C1" s="159"/>
      <c r="D1" s="159"/>
      <c r="E1" s="159"/>
      <c r="F1" s="38"/>
    </row>
    <row r="2" spans="1:6" ht="21" customHeight="1" x14ac:dyDescent="0.2">
      <c r="A2" s="4" t="s">
        <v>2</v>
      </c>
      <c r="B2" s="162" t="str">
        <f>'Summary and sign-off'!B2:F2</f>
        <v>Department of Corrections</v>
      </c>
      <c r="C2" s="162"/>
      <c r="D2" s="162"/>
      <c r="E2" s="162"/>
      <c r="F2" s="38"/>
    </row>
    <row r="3" spans="1:6" ht="21" customHeight="1" x14ac:dyDescent="0.2">
      <c r="A3" s="4" t="s">
        <v>3</v>
      </c>
      <c r="B3" s="162" t="str">
        <f>'Summary and sign-off'!B3:F3</f>
        <v>Christine Stevenson</v>
      </c>
      <c r="C3" s="162"/>
      <c r="D3" s="162"/>
      <c r="E3" s="162"/>
      <c r="F3" s="38"/>
    </row>
    <row r="4" spans="1:6" ht="21" customHeight="1" x14ac:dyDescent="0.2">
      <c r="A4" s="4" t="s">
        <v>37</v>
      </c>
      <c r="B4" s="162">
        <f>'Summary and sign-off'!B4:F4</f>
        <v>43500</v>
      </c>
      <c r="C4" s="162"/>
      <c r="D4" s="162"/>
      <c r="E4" s="162"/>
      <c r="F4" s="38"/>
    </row>
    <row r="5" spans="1:6" ht="21" customHeight="1" x14ac:dyDescent="0.2">
      <c r="A5" s="4" t="s">
        <v>38</v>
      </c>
      <c r="B5" s="162">
        <f>'Summary and sign-off'!B5:F5</f>
        <v>43646</v>
      </c>
      <c r="C5" s="162"/>
      <c r="D5" s="162"/>
      <c r="E5" s="162"/>
      <c r="F5" s="38"/>
    </row>
    <row r="6" spans="1:6" ht="21" customHeight="1" x14ac:dyDescent="0.2">
      <c r="A6" s="4" t="s">
        <v>8</v>
      </c>
      <c r="B6" s="157" t="s">
        <v>7</v>
      </c>
      <c r="C6" s="157"/>
      <c r="D6" s="157"/>
      <c r="E6" s="157"/>
      <c r="F6" s="38"/>
    </row>
    <row r="7" spans="1:6" ht="21" customHeight="1" x14ac:dyDescent="0.2">
      <c r="A7" s="4" t="s">
        <v>57</v>
      </c>
      <c r="B7" s="157" t="s">
        <v>68</v>
      </c>
      <c r="C7" s="157"/>
      <c r="D7" s="157"/>
      <c r="E7" s="157"/>
      <c r="F7" s="38"/>
    </row>
    <row r="8" spans="1:6" ht="36" customHeight="1" x14ac:dyDescent="0.2">
      <c r="A8" s="165" t="s">
        <v>4</v>
      </c>
      <c r="B8" s="166"/>
      <c r="C8" s="166"/>
      <c r="D8" s="166"/>
      <c r="E8" s="166"/>
      <c r="F8" s="24"/>
    </row>
    <row r="9" spans="1:6" ht="36" customHeight="1" x14ac:dyDescent="0.2">
      <c r="A9" s="167" t="s">
        <v>82</v>
      </c>
      <c r="B9" s="168"/>
      <c r="C9" s="168"/>
      <c r="D9" s="168"/>
      <c r="E9" s="168"/>
      <c r="F9" s="24"/>
    </row>
    <row r="10" spans="1:6" ht="24.75" customHeight="1" x14ac:dyDescent="0.2">
      <c r="A10" s="164" t="s">
        <v>83</v>
      </c>
      <c r="B10" s="169"/>
      <c r="C10" s="164"/>
      <c r="D10" s="164"/>
      <c r="E10" s="164"/>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c r="B13" s="78">
        <f>7669+660+337</f>
        <v>8666</v>
      </c>
      <c r="C13" s="120" t="s">
        <v>142</v>
      </c>
      <c r="D13" s="79" t="s">
        <v>100</v>
      </c>
      <c r="E13" s="80" t="s">
        <v>121</v>
      </c>
      <c r="F13" s="1"/>
    </row>
    <row r="14" spans="1:6" s="57" customFormat="1" x14ac:dyDescent="0.2">
      <c r="A14" s="81"/>
      <c r="B14" s="78">
        <v>1166.51</v>
      </c>
      <c r="C14" s="120" t="s">
        <v>135</v>
      </c>
      <c r="D14" s="79" t="s">
        <v>132</v>
      </c>
      <c r="E14" s="80"/>
      <c r="F14" s="1"/>
    </row>
    <row r="15" spans="1:6" s="57" customFormat="1" x14ac:dyDescent="0.2">
      <c r="A15" s="81"/>
      <c r="B15" s="78">
        <f>675.75+294.1</f>
        <v>969.85</v>
      </c>
      <c r="C15" s="120" t="s">
        <v>136</v>
      </c>
      <c r="D15" s="79" t="s">
        <v>131</v>
      </c>
      <c r="E15" s="80" t="s">
        <v>133</v>
      </c>
      <c r="F15" s="1"/>
    </row>
    <row r="16" spans="1:6" s="57" customFormat="1" x14ac:dyDescent="0.2">
      <c r="A16" s="126"/>
      <c r="B16" s="127">
        <f>38.8+39.2+33.91+33.04+77.22</f>
        <v>222.17</v>
      </c>
      <c r="C16" s="128"/>
      <c r="D16" s="129" t="s">
        <v>113</v>
      </c>
      <c r="E16" s="130" t="s">
        <v>134</v>
      </c>
      <c r="F16" s="1"/>
    </row>
    <row r="17" spans="1:6" s="57" customFormat="1" x14ac:dyDescent="0.2">
      <c r="A17" s="121"/>
      <c r="B17" s="122">
        <f>651.68+456.31+612.8</f>
        <v>1720.79</v>
      </c>
      <c r="C17" s="123" t="s">
        <v>143</v>
      </c>
      <c r="D17" s="124" t="s">
        <v>100</v>
      </c>
      <c r="E17" s="125" t="s">
        <v>139</v>
      </c>
      <c r="F17" s="1"/>
    </row>
    <row r="18" spans="1:6" s="57" customFormat="1" x14ac:dyDescent="0.2">
      <c r="A18" s="81"/>
      <c r="B18" s="78">
        <f>285.57-36.35</f>
        <v>249.22</v>
      </c>
      <c r="C18" s="120" t="s">
        <v>144</v>
      </c>
      <c r="D18" s="79" t="s">
        <v>140</v>
      </c>
      <c r="E18" s="80"/>
      <c r="F18" s="1"/>
    </row>
    <row r="19" spans="1:6" s="57" customFormat="1" x14ac:dyDescent="0.2">
      <c r="A19" s="81"/>
      <c r="B19" s="78">
        <v>36.35</v>
      </c>
      <c r="C19" s="120"/>
      <c r="D19" s="79" t="s">
        <v>141</v>
      </c>
      <c r="E19" s="80"/>
      <c r="F19" s="1"/>
    </row>
    <row r="20" spans="1:6" s="57" customFormat="1" x14ac:dyDescent="0.2">
      <c r="A20" s="81"/>
      <c r="B20" s="78">
        <f>97.52+31.62+33.04</f>
        <v>162.17999999999998</v>
      </c>
      <c r="C20" s="120" t="s">
        <v>138</v>
      </c>
      <c r="D20" s="79" t="s">
        <v>113</v>
      </c>
      <c r="E20" s="80"/>
      <c r="F20" s="1"/>
    </row>
    <row r="21" spans="1:6" s="57" customFormat="1" x14ac:dyDescent="0.2">
      <c r="A21" s="126"/>
      <c r="B21" s="154">
        <v>249.65</v>
      </c>
      <c r="C21" s="128"/>
      <c r="D21" s="129" t="s">
        <v>137</v>
      </c>
      <c r="E21" s="130"/>
      <c r="F21" s="1"/>
    </row>
    <row r="22" spans="1:6" s="57" customFormat="1" x14ac:dyDescent="0.2">
      <c r="A22" s="121"/>
      <c r="B22" s="122"/>
      <c r="C22" s="123"/>
      <c r="D22" s="124"/>
      <c r="E22" s="125"/>
      <c r="F22" s="1"/>
    </row>
    <row r="23" spans="1:6" s="57" customFormat="1" x14ac:dyDescent="0.2">
      <c r="A23" s="81"/>
      <c r="B23" s="78"/>
      <c r="C23" s="120"/>
      <c r="D23" s="79"/>
      <c r="E23" s="80"/>
      <c r="F23" s="1"/>
    </row>
    <row r="24" spans="1:6" s="57" customFormat="1" hidden="1" x14ac:dyDescent="0.2">
      <c r="A24" s="89"/>
      <c r="B24" s="90"/>
      <c r="C24" s="91"/>
      <c r="D24" s="91"/>
      <c r="E24" s="92"/>
      <c r="F24" s="1"/>
    </row>
    <row r="25" spans="1:6" ht="19.5" customHeight="1" x14ac:dyDescent="0.2">
      <c r="A25" s="93" t="s">
        <v>89</v>
      </c>
      <c r="B25" s="94">
        <f>SUM(B12:B24)</f>
        <v>13442.72</v>
      </c>
      <c r="C25" s="95"/>
      <c r="D25" s="163"/>
      <c r="E25" s="163"/>
      <c r="F25" s="38"/>
    </row>
    <row r="26" spans="1:6" ht="10.5" customHeight="1" x14ac:dyDescent="0.2">
      <c r="A26" s="28"/>
      <c r="B26" s="24"/>
      <c r="C26" s="28"/>
      <c r="D26" s="28"/>
      <c r="E26" s="28"/>
      <c r="F26" s="28"/>
    </row>
    <row r="27" spans="1:6" ht="24.75" customHeight="1" x14ac:dyDescent="0.2">
      <c r="A27" s="164" t="s">
        <v>48</v>
      </c>
      <c r="B27" s="164"/>
      <c r="C27" s="164"/>
      <c r="D27" s="164"/>
      <c r="E27" s="164"/>
      <c r="F27" s="39"/>
    </row>
    <row r="28" spans="1:6" ht="27" customHeight="1" x14ac:dyDescent="0.2">
      <c r="A28" s="31" t="s">
        <v>27</v>
      </c>
      <c r="B28" s="31" t="s">
        <v>10</v>
      </c>
      <c r="C28" s="31" t="s">
        <v>86</v>
      </c>
      <c r="D28" s="31" t="s">
        <v>56</v>
      </c>
      <c r="E28" s="31" t="s">
        <v>36</v>
      </c>
      <c r="F28" s="40"/>
    </row>
    <row r="29" spans="1:6" s="57" customFormat="1" hidden="1" x14ac:dyDescent="0.2">
      <c r="A29" s="81"/>
      <c r="B29" s="78"/>
      <c r="C29" s="79"/>
      <c r="D29" s="79"/>
      <c r="E29" s="80"/>
      <c r="F29" s="1"/>
    </row>
    <row r="30" spans="1:6" s="57" customFormat="1" x14ac:dyDescent="0.2">
      <c r="A30" s="81">
        <v>43504</v>
      </c>
      <c r="B30" s="78">
        <f>792.1/2+50.3</f>
        <v>446.35</v>
      </c>
      <c r="C30" s="120" t="s">
        <v>147</v>
      </c>
      <c r="D30" s="79" t="s">
        <v>100</v>
      </c>
      <c r="E30" s="80" t="s">
        <v>101</v>
      </c>
      <c r="F30" s="1"/>
    </row>
    <row r="31" spans="1:6" s="57" customFormat="1" x14ac:dyDescent="0.2">
      <c r="A31" s="126"/>
      <c r="B31" s="127">
        <v>33.04</v>
      </c>
      <c r="C31" s="136">
        <v>43504</v>
      </c>
      <c r="D31" s="129" t="s">
        <v>102</v>
      </c>
      <c r="E31" s="130"/>
      <c r="F31" s="1"/>
    </row>
    <row r="32" spans="1:6" s="57" customFormat="1" x14ac:dyDescent="0.2">
      <c r="A32" s="121">
        <v>43511</v>
      </c>
      <c r="B32" s="122">
        <f>396.22</f>
        <v>396.22</v>
      </c>
      <c r="C32" s="123" t="s">
        <v>154</v>
      </c>
      <c r="D32" s="124" t="s">
        <v>100</v>
      </c>
      <c r="E32" s="125" t="s">
        <v>107</v>
      </c>
      <c r="F32" s="1"/>
    </row>
    <row r="33" spans="1:6" s="57" customFormat="1" x14ac:dyDescent="0.2">
      <c r="A33" s="126"/>
      <c r="B33" s="127">
        <f>32.52+38.09</f>
        <v>70.610000000000014</v>
      </c>
      <c r="C33" s="136">
        <v>43511</v>
      </c>
      <c r="D33" s="129" t="s">
        <v>102</v>
      </c>
      <c r="E33" s="130"/>
      <c r="F33" s="1"/>
    </row>
    <row r="34" spans="1:6" s="57" customFormat="1" x14ac:dyDescent="0.2">
      <c r="A34" s="121">
        <v>43518</v>
      </c>
      <c r="B34" s="122">
        <f>358.5</f>
        <v>358.5</v>
      </c>
      <c r="C34" s="123" t="s">
        <v>153</v>
      </c>
      <c r="D34" s="124" t="s">
        <v>100</v>
      </c>
      <c r="E34" s="125" t="s">
        <v>106</v>
      </c>
      <c r="F34" s="1"/>
    </row>
    <row r="35" spans="1:6" s="57" customFormat="1" x14ac:dyDescent="0.2">
      <c r="A35" s="126"/>
      <c r="B35" s="127">
        <f>33.04+32.87</f>
        <v>65.91</v>
      </c>
      <c r="C35" s="136">
        <v>43518</v>
      </c>
      <c r="D35" s="129" t="s">
        <v>102</v>
      </c>
      <c r="E35" s="130"/>
      <c r="F35" s="1"/>
    </row>
    <row r="36" spans="1:6" s="57" customFormat="1" x14ac:dyDescent="0.2">
      <c r="A36" s="121">
        <v>43525</v>
      </c>
      <c r="B36" s="122">
        <f>341.73</f>
        <v>341.73</v>
      </c>
      <c r="C36" s="123" t="s">
        <v>152</v>
      </c>
      <c r="D36" s="124" t="s">
        <v>100</v>
      </c>
      <c r="E36" s="125" t="s">
        <v>108</v>
      </c>
      <c r="F36" s="1"/>
    </row>
    <row r="37" spans="1:6" s="57" customFormat="1" x14ac:dyDescent="0.2">
      <c r="A37" s="126"/>
      <c r="B37" s="127">
        <f>33.91+40.7</f>
        <v>74.61</v>
      </c>
      <c r="C37" s="136">
        <v>43525</v>
      </c>
      <c r="D37" s="129" t="s">
        <v>102</v>
      </c>
      <c r="E37" s="130"/>
      <c r="F37" s="1"/>
    </row>
    <row r="38" spans="1:6" s="57" customFormat="1" x14ac:dyDescent="0.2">
      <c r="A38" s="131">
        <v>43530</v>
      </c>
      <c r="B38" s="132">
        <v>269.32</v>
      </c>
      <c r="C38" s="133" t="s">
        <v>151</v>
      </c>
      <c r="D38" s="134" t="s">
        <v>100</v>
      </c>
      <c r="E38" s="135" t="s">
        <v>107</v>
      </c>
      <c r="F38" s="1"/>
    </row>
    <row r="39" spans="1:6" s="57" customFormat="1" x14ac:dyDescent="0.2">
      <c r="A39" s="126"/>
      <c r="B39" s="127">
        <f>26.96+25.74</f>
        <v>52.7</v>
      </c>
      <c r="C39" s="136">
        <v>43530</v>
      </c>
      <c r="D39" s="129" t="s">
        <v>102</v>
      </c>
      <c r="E39" s="130"/>
      <c r="F39" s="1"/>
    </row>
    <row r="40" spans="1:6" s="57" customFormat="1" x14ac:dyDescent="0.2">
      <c r="A40" s="139">
        <v>43538</v>
      </c>
      <c r="B40" s="140">
        <f>193.48+905.64-972.25+778.77</f>
        <v>905.63999999999987</v>
      </c>
      <c r="C40" s="141" t="s">
        <v>145</v>
      </c>
      <c r="D40" s="142" t="s">
        <v>100</v>
      </c>
      <c r="E40" s="143" t="s">
        <v>114</v>
      </c>
      <c r="F40" s="1"/>
    </row>
    <row r="41" spans="1:6" s="57" customFormat="1" x14ac:dyDescent="0.2">
      <c r="A41" s="126"/>
      <c r="B41" s="127">
        <f>37.74+32.35</f>
        <v>70.09</v>
      </c>
      <c r="C41" s="136">
        <v>43539</v>
      </c>
      <c r="D41" s="129" t="s">
        <v>113</v>
      </c>
      <c r="E41" s="130"/>
      <c r="F41" s="1"/>
    </row>
    <row r="42" spans="1:6" s="57" customFormat="1" x14ac:dyDescent="0.2">
      <c r="A42" s="137">
        <v>43543</v>
      </c>
      <c r="B42" s="90">
        <v>253.82</v>
      </c>
      <c r="C42" s="123" t="s">
        <v>130</v>
      </c>
      <c r="D42" s="91" t="s">
        <v>100</v>
      </c>
      <c r="E42" s="92" t="s">
        <v>107</v>
      </c>
      <c r="F42" s="1"/>
    </row>
    <row r="43" spans="1:6" s="57" customFormat="1" x14ac:dyDescent="0.2">
      <c r="A43" s="126"/>
      <c r="B43" s="127">
        <f>33.91+33.91</f>
        <v>67.819999999999993</v>
      </c>
      <c r="C43" s="148">
        <v>43543</v>
      </c>
      <c r="D43" s="129" t="s">
        <v>113</v>
      </c>
      <c r="E43" s="130"/>
      <c r="F43" s="1"/>
    </row>
    <row r="44" spans="1:6" s="57" customFormat="1" x14ac:dyDescent="0.2">
      <c r="A44" s="121">
        <v>43546</v>
      </c>
      <c r="B44" s="122">
        <v>373.79</v>
      </c>
      <c r="C44" s="123" t="s">
        <v>159</v>
      </c>
      <c r="D44" s="124" t="s">
        <v>100</v>
      </c>
      <c r="E44" s="125" t="s">
        <v>101</v>
      </c>
      <c r="F44" s="1"/>
    </row>
    <row r="45" spans="1:6" s="57" customFormat="1" x14ac:dyDescent="0.2">
      <c r="A45" s="126"/>
      <c r="B45" s="127">
        <f>32.17+33.74</f>
        <v>65.91</v>
      </c>
      <c r="C45" s="136">
        <v>43546</v>
      </c>
      <c r="D45" s="129" t="s">
        <v>113</v>
      </c>
      <c r="E45" s="130"/>
      <c r="F45" s="1"/>
    </row>
    <row r="46" spans="1:6" s="57" customFormat="1" x14ac:dyDescent="0.2">
      <c r="A46" s="149">
        <v>43555</v>
      </c>
      <c r="B46" s="150">
        <v>43.8</v>
      </c>
      <c r="C46" s="151" t="s">
        <v>116</v>
      </c>
      <c r="D46" s="152" t="s">
        <v>156</v>
      </c>
      <c r="E46" s="153" t="s">
        <v>117</v>
      </c>
      <c r="F46" s="1"/>
    </row>
    <row r="47" spans="1:6" s="57" customFormat="1" x14ac:dyDescent="0.2">
      <c r="A47" s="139">
        <v>43560</v>
      </c>
      <c r="B47" s="140">
        <f>301.61+346.56</f>
        <v>648.17000000000007</v>
      </c>
      <c r="C47" s="141" t="s">
        <v>119</v>
      </c>
      <c r="D47" s="142" t="s">
        <v>100</v>
      </c>
      <c r="E47" s="143" t="s">
        <v>118</v>
      </c>
      <c r="F47" s="1"/>
    </row>
    <row r="48" spans="1:6" s="57" customFormat="1" x14ac:dyDescent="0.2">
      <c r="A48" s="137"/>
      <c r="B48" s="90">
        <v>161.74</v>
      </c>
      <c r="C48" s="138" t="s">
        <v>118</v>
      </c>
      <c r="D48" s="91" t="s">
        <v>115</v>
      </c>
      <c r="E48" s="92"/>
      <c r="F48" s="1"/>
    </row>
    <row r="49" spans="1:6" s="57" customFormat="1" x14ac:dyDescent="0.2">
      <c r="A49" s="126"/>
      <c r="B49" s="127">
        <f>9.57+17.39</f>
        <v>26.96</v>
      </c>
      <c r="C49" s="128" t="s">
        <v>120</v>
      </c>
      <c r="D49" s="129" t="s">
        <v>113</v>
      </c>
      <c r="E49" s="130"/>
      <c r="F49" s="1"/>
    </row>
    <row r="50" spans="1:6" s="57" customFormat="1" x14ac:dyDescent="0.2">
      <c r="A50" s="139">
        <v>43570</v>
      </c>
      <c r="B50" s="140">
        <v>447.31</v>
      </c>
      <c r="C50" s="123" t="s">
        <v>150</v>
      </c>
      <c r="D50" s="142" t="s">
        <v>100</v>
      </c>
      <c r="E50" s="142" t="s">
        <v>101</v>
      </c>
      <c r="F50" s="1"/>
    </row>
    <row r="51" spans="1:6" s="57" customFormat="1" x14ac:dyDescent="0.2">
      <c r="A51" s="126"/>
      <c r="B51" s="127">
        <f>25.74+62.96+60.7+36.52+27.48</f>
        <v>213.4</v>
      </c>
      <c r="C51" s="136">
        <v>43570</v>
      </c>
      <c r="D51" s="129" t="s">
        <v>113</v>
      </c>
      <c r="E51" s="130"/>
      <c r="F51" s="1"/>
    </row>
    <row r="52" spans="1:6" s="57" customFormat="1" x14ac:dyDescent="0.2">
      <c r="A52" s="131">
        <v>43581</v>
      </c>
      <c r="B52" s="132">
        <v>331.22</v>
      </c>
      <c r="C52" s="133" t="s">
        <v>149</v>
      </c>
      <c r="D52" s="134" t="s">
        <v>100</v>
      </c>
      <c r="E52" s="135" t="s">
        <v>101</v>
      </c>
      <c r="F52" s="1"/>
    </row>
    <row r="53" spans="1:6" s="57" customFormat="1" x14ac:dyDescent="0.2">
      <c r="A53" s="126"/>
      <c r="B53" s="127">
        <f>35.13+37.04</f>
        <v>72.17</v>
      </c>
      <c r="C53" s="136">
        <v>43581</v>
      </c>
      <c r="D53" s="129" t="s">
        <v>113</v>
      </c>
      <c r="E53" s="130"/>
      <c r="F53" s="1"/>
    </row>
    <row r="54" spans="1:6" s="57" customFormat="1" x14ac:dyDescent="0.2">
      <c r="A54" s="121">
        <v>43588</v>
      </c>
      <c r="B54" s="122">
        <f>190.45+203.29</f>
        <v>393.74</v>
      </c>
      <c r="C54" s="123" t="s">
        <v>157</v>
      </c>
      <c r="D54" s="124" t="s">
        <v>100</v>
      </c>
      <c r="E54" s="125" t="s">
        <v>108</v>
      </c>
      <c r="F54" s="1"/>
    </row>
    <row r="55" spans="1:6" s="57" customFormat="1" x14ac:dyDescent="0.2">
      <c r="A55" s="121"/>
      <c r="B55" s="122">
        <v>73.739999999999995</v>
      </c>
      <c r="C55" s="155">
        <v>43588</v>
      </c>
      <c r="D55" s="124" t="s">
        <v>113</v>
      </c>
      <c r="E55" s="125"/>
      <c r="F55" s="1"/>
    </row>
    <row r="56" spans="1:6" s="57" customFormat="1" x14ac:dyDescent="0.2">
      <c r="A56" s="131">
        <v>43602</v>
      </c>
      <c r="B56" s="132">
        <v>353.54</v>
      </c>
      <c r="C56" s="133" t="s">
        <v>148</v>
      </c>
      <c r="D56" s="134" t="s">
        <v>100</v>
      </c>
      <c r="E56" s="135" t="s">
        <v>122</v>
      </c>
      <c r="F56" s="1"/>
    </row>
    <row r="57" spans="1:6" s="57" customFormat="1" x14ac:dyDescent="0.2">
      <c r="A57" s="126"/>
      <c r="B57" s="122">
        <v>66.790000000000006</v>
      </c>
      <c r="C57" s="136">
        <v>43602</v>
      </c>
      <c r="D57" s="129" t="s">
        <v>113</v>
      </c>
      <c r="E57" s="130"/>
      <c r="F57" s="1"/>
    </row>
    <row r="58" spans="1:6" s="57" customFormat="1" x14ac:dyDescent="0.2">
      <c r="A58" s="131">
        <v>43607</v>
      </c>
      <c r="B58" s="132">
        <v>486.01</v>
      </c>
      <c r="C58" s="133" t="s">
        <v>127</v>
      </c>
      <c r="D58" s="134" t="s">
        <v>100</v>
      </c>
      <c r="E58" s="125" t="s">
        <v>101</v>
      </c>
      <c r="F58" s="1"/>
    </row>
    <row r="59" spans="1:6" s="57" customFormat="1" x14ac:dyDescent="0.2">
      <c r="A59" s="144"/>
      <c r="B59" s="127">
        <f>32.87+50.78+64.35+34.78</f>
        <v>182.78</v>
      </c>
      <c r="C59" s="148">
        <v>43607</v>
      </c>
      <c r="D59" s="145" t="s">
        <v>113</v>
      </c>
      <c r="E59" s="146"/>
      <c r="F59" s="1"/>
    </row>
    <row r="60" spans="1:6" s="57" customFormat="1" x14ac:dyDescent="0.2">
      <c r="A60" s="121">
        <v>43614</v>
      </c>
      <c r="B60" s="122">
        <f>400.87+30.96</f>
        <v>431.83</v>
      </c>
      <c r="C60" s="123" t="s">
        <v>147</v>
      </c>
      <c r="D60" s="124" t="s">
        <v>100</v>
      </c>
      <c r="E60" s="125" t="s">
        <v>101</v>
      </c>
      <c r="F60" s="1"/>
    </row>
    <row r="61" spans="1:6" s="57" customFormat="1" x14ac:dyDescent="0.2">
      <c r="A61" s="126"/>
      <c r="B61" s="127">
        <f>32.35+29.91+75.3+62.61+32.17</f>
        <v>232.34000000000003</v>
      </c>
      <c r="C61" s="136">
        <v>43614</v>
      </c>
      <c r="D61" s="129" t="s">
        <v>113</v>
      </c>
      <c r="E61" s="130"/>
      <c r="F61" s="1"/>
    </row>
    <row r="62" spans="1:6" s="57" customFormat="1" x14ac:dyDescent="0.2">
      <c r="A62" s="131">
        <v>43621</v>
      </c>
      <c r="B62" s="132">
        <f>204.43+99.36</f>
        <v>303.79000000000002</v>
      </c>
      <c r="C62" s="147" t="s">
        <v>124</v>
      </c>
      <c r="D62" s="134" t="s">
        <v>100</v>
      </c>
      <c r="E62" s="134" t="s">
        <v>107</v>
      </c>
      <c r="F62" s="1"/>
    </row>
    <row r="63" spans="1:6" s="57" customFormat="1" x14ac:dyDescent="0.2">
      <c r="A63" s="126"/>
      <c r="B63" s="127">
        <v>64.17</v>
      </c>
      <c r="C63" s="136">
        <v>43621</v>
      </c>
      <c r="D63" s="129" t="s">
        <v>113</v>
      </c>
      <c r="E63" s="129"/>
      <c r="F63" s="1"/>
    </row>
    <row r="64" spans="1:6" s="57" customFormat="1" x14ac:dyDescent="0.2">
      <c r="A64" s="131">
        <v>43628</v>
      </c>
      <c r="B64" s="132">
        <v>447.31</v>
      </c>
      <c r="C64" s="133" t="s">
        <v>128</v>
      </c>
      <c r="D64" s="134" t="s">
        <v>100</v>
      </c>
      <c r="E64" s="134" t="s">
        <v>101</v>
      </c>
      <c r="F64" s="1"/>
    </row>
    <row r="65" spans="1:6" s="57" customFormat="1" x14ac:dyDescent="0.2">
      <c r="A65" s="126"/>
      <c r="B65" s="127">
        <v>102.96</v>
      </c>
      <c r="C65" s="136">
        <v>43628</v>
      </c>
      <c r="D65" s="129" t="s">
        <v>113</v>
      </c>
      <c r="E65" s="129"/>
      <c r="F65" s="1"/>
    </row>
    <row r="66" spans="1:6" s="57" customFormat="1" x14ac:dyDescent="0.2">
      <c r="A66" s="121">
        <v>43637</v>
      </c>
      <c r="B66" s="122">
        <f>259.38+503.5</f>
        <v>762.88</v>
      </c>
      <c r="C66" s="123" t="s">
        <v>158</v>
      </c>
      <c r="D66" s="124" t="s">
        <v>100</v>
      </c>
      <c r="E66" s="124" t="s">
        <v>114</v>
      </c>
      <c r="F66" s="1"/>
    </row>
    <row r="67" spans="1:6" s="57" customFormat="1" x14ac:dyDescent="0.2">
      <c r="A67" s="126"/>
      <c r="B67" s="127">
        <v>64.349999999999994</v>
      </c>
      <c r="C67" s="136">
        <v>43637</v>
      </c>
      <c r="D67" s="129" t="s">
        <v>113</v>
      </c>
      <c r="E67" s="129"/>
      <c r="F67" s="1"/>
    </row>
    <row r="68" spans="1:6" s="57" customFormat="1" x14ac:dyDescent="0.2">
      <c r="A68" s="81">
        <v>43644</v>
      </c>
      <c r="B68" s="122">
        <v>180.86</v>
      </c>
      <c r="C68" s="123" t="s">
        <v>146</v>
      </c>
      <c r="D68" s="124" t="s">
        <v>100</v>
      </c>
      <c r="E68" s="125" t="s">
        <v>123</v>
      </c>
      <c r="F68" s="1"/>
    </row>
    <row r="69" spans="1:6" s="57" customFormat="1" x14ac:dyDescent="0.2">
      <c r="A69" s="126"/>
      <c r="B69" s="127">
        <v>68</v>
      </c>
      <c r="C69" s="136">
        <v>43644</v>
      </c>
      <c r="D69" s="129" t="s">
        <v>113</v>
      </c>
      <c r="E69" s="130"/>
      <c r="F69" s="1"/>
    </row>
    <row r="70" spans="1:6" s="57" customFormat="1" x14ac:dyDescent="0.2">
      <c r="A70" s="121"/>
      <c r="B70" s="122"/>
      <c r="C70" s="123"/>
      <c r="D70" s="124"/>
      <c r="E70" s="125"/>
      <c r="F70" s="1"/>
    </row>
    <row r="71" spans="1:6" s="57" customFormat="1" x14ac:dyDescent="0.2">
      <c r="A71" s="81"/>
      <c r="B71" s="78"/>
      <c r="C71" s="120"/>
      <c r="D71" s="79"/>
      <c r="E71" s="80"/>
      <c r="F71" s="1"/>
    </row>
    <row r="72" spans="1:6" s="57" customFormat="1" hidden="1" x14ac:dyDescent="0.2">
      <c r="A72" s="81"/>
      <c r="B72" s="78"/>
      <c r="C72" s="79"/>
      <c r="D72" s="79"/>
      <c r="E72" s="80"/>
      <c r="F72" s="1"/>
    </row>
    <row r="73" spans="1:6" ht="19.5" customHeight="1" x14ac:dyDescent="0.2">
      <c r="A73" s="93" t="s">
        <v>90</v>
      </c>
      <c r="B73" s="94">
        <f>SUM(B29:B72)</f>
        <v>10005.92</v>
      </c>
      <c r="C73" s="95"/>
      <c r="D73" s="163"/>
      <c r="E73" s="163"/>
      <c r="F73" s="38"/>
    </row>
    <row r="74" spans="1:6" ht="10.5" customHeight="1" x14ac:dyDescent="0.2">
      <c r="A74" s="28"/>
      <c r="B74" s="24"/>
      <c r="C74" s="28"/>
      <c r="D74" s="28"/>
      <c r="E74" s="28"/>
      <c r="F74" s="28"/>
    </row>
    <row r="75" spans="1:6" ht="24.75" customHeight="1" x14ac:dyDescent="0.2">
      <c r="A75" s="164" t="s">
        <v>22</v>
      </c>
      <c r="B75" s="164"/>
      <c r="C75" s="164"/>
      <c r="D75" s="164"/>
      <c r="E75" s="164"/>
      <c r="F75" s="38"/>
    </row>
    <row r="76" spans="1:6" ht="27" customHeight="1" x14ac:dyDescent="0.2">
      <c r="A76" s="31" t="s">
        <v>27</v>
      </c>
      <c r="B76" s="31" t="s">
        <v>10</v>
      </c>
      <c r="C76" s="31" t="s">
        <v>87</v>
      </c>
      <c r="D76" s="31" t="s">
        <v>45</v>
      </c>
      <c r="E76" s="31" t="s">
        <v>36</v>
      </c>
      <c r="F76" s="41"/>
    </row>
    <row r="77" spans="1:6" s="57" customFormat="1" hidden="1" x14ac:dyDescent="0.2">
      <c r="A77" s="81"/>
      <c r="B77" s="78"/>
      <c r="C77" s="79"/>
      <c r="D77" s="79"/>
      <c r="E77" s="80"/>
      <c r="F77" s="1"/>
    </row>
    <row r="78" spans="1:6" s="57" customFormat="1" x14ac:dyDescent="0.2">
      <c r="A78" s="81"/>
      <c r="B78" s="78"/>
      <c r="C78" s="79" t="s">
        <v>155</v>
      </c>
      <c r="D78" s="79"/>
      <c r="E78" s="80"/>
      <c r="F78" s="1"/>
    </row>
    <row r="79" spans="1:6" s="57" customFormat="1" x14ac:dyDescent="0.2">
      <c r="A79" s="81"/>
      <c r="B79" s="78"/>
      <c r="C79" s="79"/>
      <c r="D79" s="79"/>
      <c r="E79" s="80"/>
      <c r="F79" s="1"/>
    </row>
    <row r="80" spans="1:6" s="57" customFormat="1" hidden="1" x14ac:dyDescent="0.2">
      <c r="A80" s="81"/>
      <c r="B80" s="78"/>
      <c r="C80" s="79"/>
      <c r="D80" s="79"/>
      <c r="E80" s="80"/>
      <c r="F80" s="1"/>
    </row>
    <row r="81" spans="1:6" ht="19.5" customHeight="1" x14ac:dyDescent="0.2">
      <c r="A81" s="93" t="s">
        <v>88</v>
      </c>
      <c r="B81" s="94">
        <f>SUM(B77:B80)</f>
        <v>0</v>
      </c>
      <c r="C81" s="95"/>
      <c r="D81" s="163"/>
      <c r="E81" s="163"/>
      <c r="F81" s="38"/>
    </row>
    <row r="82" spans="1:6" ht="10.5" customHeight="1" x14ac:dyDescent="0.2">
      <c r="A82" s="28"/>
      <c r="B82" s="65"/>
      <c r="C82" s="24"/>
      <c r="D82" s="28"/>
      <c r="E82" s="28"/>
      <c r="F82" s="28"/>
    </row>
    <row r="83" spans="1:6" ht="34.5" customHeight="1" x14ac:dyDescent="0.2">
      <c r="A83" s="42" t="s">
        <v>1</v>
      </c>
      <c r="B83" s="66">
        <f>B25+B73+B81</f>
        <v>23448.639999999999</v>
      </c>
      <c r="C83" s="43"/>
      <c r="D83" s="43"/>
      <c r="E83" s="43"/>
      <c r="F83" s="27"/>
    </row>
    <row r="84" spans="1:6" x14ac:dyDescent="0.2">
      <c r="A84" s="28"/>
      <c r="B84" s="24"/>
      <c r="C84" s="28"/>
      <c r="D84" s="28"/>
      <c r="E84" s="28"/>
      <c r="F84" s="28"/>
    </row>
    <row r="85" spans="1:6" hidden="1" x14ac:dyDescent="0.2">
      <c r="A85" s="35"/>
      <c r="B85" s="28"/>
      <c r="C85" s="28"/>
      <c r="D85" s="28"/>
      <c r="E85" s="38"/>
      <c r="F85" s="38"/>
    </row>
    <row r="86" spans="1:6" hidden="1" x14ac:dyDescent="0.2"/>
    <row r="87" spans="1:6" hidden="1" x14ac:dyDescent="0.2"/>
    <row r="88" spans="1:6" hidden="1" x14ac:dyDescent="0.2"/>
    <row r="89" spans="1:6" hidden="1" x14ac:dyDescent="0.2"/>
    <row r="90" spans="1:6" ht="12.75" hidden="1" customHeight="1" x14ac:dyDescent="0.2"/>
    <row r="91" spans="1:6" hidden="1" x14ac:dyDescent="0.2"/>
    <row r="92" spans="1:6" hidden="1" x14ac:dyDescent="0.2"/>
    <row r="93" spans="1:6" hidden="1" x14ac:dyDescent="0.2">
      <c r="A93" s="44"/>
      <c r="B93" s="38"/>
      <c r="C93" s="38"/>
      <c r="D93" s="38"/>
      <c r="E93" s="38"/>
      <c r="F93" s="38"/>
    </row>
    <row r="94" spans="1:6" hidden="1" x14ac:dyDescent="0.2">
      <c r="A94" s="44"/>
      <c r="B94" s="38"/>
      <c r="C94" s="38"/>
      <c r="D94" s="38"/>
      <c r="E94" s="38"/>
      <c r="F94" s="38"/>
    </row>
    <row r="95" spans="1:6" hidden="1" x14ac:dyDescent="0.2">
      <c r="A95" s="44"/>
      <c r="B95" s="38"/>
      <c r="C95" s="38"/>
      <c r="D95" s="38"/>
      <c r="E95" s="38"/>
      <c r="F95" s="38"/>
    </row>
    <row r="96" spans="1:6" hidden="1" x14ac:dyDescent="0.2">
      <c r="A96" s="44"/>
      <c r="B96" s="38"/>
      <c r="C96" s="38"/>
      <c r="D96" s="38"/>
      <c r="E96" s="38"/>
      <c r="F96" s="38"/>
    </row>
    <row r="97" spans="1:6" hidden="1" x14ac:dyDescent="0.2">
      <c r="A97" s="44"/>
      <c r="B97" s="38"/>
      <c r="C97" s="38"/>
      <c r="D97" s="38"/>
      <c r="E97" s="38"/>
      <c r="F97" s="38"/>
    </row>
    <row r="98" spans="1:6" hidden="1" x14ac:dyDescent="0.2"/>
    <row r="99" spans="1:6" hidden="1" x14ac:dyDescent="0.2"/>
    <row r="100" spans="1:6" hidden="1" x14ac:dyDescent="0.2"/>
    <row r="101" spans="1:6" hidden="1" x14ac:dyDescent="0.2"/>
    <row r="102" spans="1:6" hidden="1" x14ac:dyDescent="0.2"/>
    <row r="103" spans="1:6" hidden="1" x14ac:dyDescent="0.2"/>
    <row r="104" spans="1:6" hidden="1"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sheetProtection formatCells="0" formatRows="0" insertColumns="0" insertRows="0" deleteRows="0"/>
  <mergeCells count="15">
    <mergeCell ref="B7:E7"/>
    <mergeCell ref="B5:E5"/>
    <mergeCell ref="D81:E81"/>
    <mergeCell ref="A1:E1"/>
    <mergeCell ref="A27:E27"/>
    <mergeCell ref="A75:E75"/>
    <mergeCell ref="B2:E2"/>
    <mergeCell ref="B3:E3"/>
    <mergeCell ref="B4:E4"/>
    <mergeCell ref="A8:E8"/>
    <mergeCell ref="A9:E9"/>
    <mergeCell ref="B6:E6"/>
    <mergeCell ref="D25:E25"/>
    <mergeCell ref="D73:E7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A30 A12:A24 A45:A72 A77:A80 A32:A43">
      <formula1>$B$4</formula1>
      <formula2>$B$5</formula2>
    </dataValidation>
    <dataValidation allowBlank="1" showInputMessage="1" showErrorMessage="1" prompt="Insert additional rows as needed:_x000a_- 'right click' on a row number (left of screen)_x000a_- select 'Insert' (this will insert a row above it)" sqref="A76 A28 A11"/>
    <dataValidation type="decimal" operator="greaterThan" allowBlank="1" showInputMessage="1" showErrorMessage="1" error="This cell must contain a dollar figure" sqref="B12:B24 B32:B43 B77:B80 B45:B72">
      <formula1>$A$40</formula1>
    </dataValidation>
  </dataValidations>
  <pageMargins left="0.25" right="0.25" top="0.75" bottom="0.75" header="0.3" footer="0.3"/>
  <pageSetup paperSize="8" scale="75"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B29:B30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A19" sqref="A19:XFD2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9" t="s">
        <v>5</v>
      </c>
      <c r="B1" s="159"/>
      <c r="C1" s="159"/>
      <c r="D1" s="159"/>
      <c r="E1" s="159"/>
      <c r="F1" s="34"/>
    </row>
    <row r="2" spans="1:6" ht="21" customHeight="1" x14ac:dyDescent="0.2">
      <c r="A2" s="4" t="s">
        <v>2</v>
      </c>
      <c r="B2" s="162" t="str">
        <f>'Summary and sign-off'!B2:F2</f>
        <v>Department of Corrections</v>
      </c>
      <c r="C2" s="162"/>
      <c r="D2" s="162"/>
      <c r="E2" s="162"/>
      <c r="F2" s="34"/>
    </row>
    <row r="3" spans="1:6" ht="21" customHeight="1" x14ac:dyDescent="0.2">
      <c r="A3" s="4" t="s">
        <v>3</v>
      </c>
      <c r="B3" s="162" t="str">
        <f>'Summary and sign-off'!B3:F3</f>
        <v>Christine Stevenson</v>
      </c>
      <c r="C3" s="162"/>
      <c r="D3" s="162"/>
      <c r="E3" s="162"/>
      <c r="F3" s="34"/>
    </row>
    <row r="4" spans="1:6" ht="21" customHeight="1" x14ac:dyDescent="0.2">
      <c r="A4" s="4" t="s">
        <v>37</v>
      </c>
      <c r="B4" s="162">
        <f>'Summary and sign-off'!B4:F4</f>
        <v>43500</v>
      </c>
      <c r="C4" s="162"/>
      <c r="D4" s="162"/>
      <c r="E4" s="162"/>
      <c r="F4" s="34"/>
    </row>
    <row r="5" spans="1:6" ht="21" customHeight="1" x14ac:dyDescent="0.2">
      <c r="A5" s="4" t="s">
        <v>38</v>
      </c>
      <c r="B5" s="162">
        <f>'Summary and sign-off'!B5:F5</f>
        <v>43646</v>
      </c>
      <c r="C5" s="162"/>
      <c r="D5" s="162"/>
      <c r="E5" s="162"/>
      <c r="F5" s="34"/>
    </row>
    <row r="6" spans="1:6" ht="21" customHeight="1" x14ac:dyDescent="0.2">
      <c r="A6" s="4" t="s">
        <v>8</v>
      </c>
      <c r="B6" s="157" t="s">
        <v>31</v>
      </c>
      <c r="C6" s="157"/>
      <c r="D6" s="157"/>
      <c r="E6" s="157"/>
      <c r="F6" s="34"/>
    </row>
    <row r="7" spans="1:6" ht="21" customHeight="1" x14ac:dyDescent="0.2">
      <c r="A7" s="4" t="s">
        <v>57</v>
      </c>
      <c r="B7" s="157" t="s">
        <v>68</v>
      </c>
      <c r="C7" s="157"/>
      <c r="D7" s="157"/>
      <c r="E7" s="157"/>
      <c r="F7" s="34"/>
    </row>
    <row r="8" spans="1:6" ht="35.25" customHeight="1" x14ac:dyDescent="0.25">
      <c r="A8" s="172" t="s">
        <v>92</v>
      </c>
      <c r="B8" s="172"/>
      <c r="C8" s="173"/>
      <c r="D8" s="173"/>
      <c r="E8" s="173"/>
      <c r="F8" s="37"/>
    </row>
    <row r="9" spans="1:6" ht="35.25" customHeight="1" x14ac:dyDescent="0.25">
      <c r="A9" s="170" t="s">
        <v>75</v>
      </c>
      <c r="B9" s="171"/>
      <c r="C9" s="171"/>
      <c r="D9" s="171"/>
      <c r="E9" s="171"/>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c r="D12" s="82"/>
      <c r="E12" s="83"/>
      <c r="F12" s="2"/>
    </row>
    <row r="13" spans="1:6" s="57" customFormat="1" x14ac:dyDescent="0.2">
      <c r="A13" s="81"/>
      <c r="B13" s="78"/>
      <c r="C13" s="82" t="s">
        <v>155</v>
      </c>
      <c r="D13" s="82"/>
      <c r="E13" s="83"/>
      <c r="F13" s="2"/>
    </row>
    <row r="14" spans="1:6" s="57" customFormat="1" x14ac:dyDescent="0.2">
      <c r="A14" s="81"/>
      <c r="B14" s="78"/>
      <c r="C14" s="82"/>
      <c r="D14" s="82"/>
      <c r="E14" s="83"/>
      <c r="F14" s="2"/>
    </row>
    <row r="15" spans="1:6" s="57" customFormat="1" x14ac:dyDescent="0.2">
      <c r="A15" s="81"/>
      <c r="B15" s="78"/>
      <c r="C15" s="82"/>
      <c r="D15" s="82"/>
      <c r="E15" s="83"/>
      <c r="F15" s="2"/>
    </row>
    <row r="16" spans="1:6" s="57" customFormat="1" ht="11.25" hidden="1" customHeight="1" x14ac:dyDescent="0.2">
      <c r="A16" s="77"/>
      <c r="B16" s="78"/>
      <c r="C16" s="82"/>
      <c r="D16" s="82"/>
      <c r="E16" s="83"/>
      <c r="F16" s="2"/>
    </row>
    <row r="17" spans="1:6" ht="34.5" customHeight="1" x14ac:dyDescent="0.2">
      <c r="A17" s="58" t="s">
        <v>72</v>
      </c>
      <c r="B17" s="70">
        <f>SUM(B11:B16)</f>
        <v>0</v>
      </c>
      <c r="C17" s="88"/>
      <c r="D17" s="163"/>
      <c r="E17" s="163"/>
      <c r="F17" s="2"/>
    </row>
    <row r="18" spans="1:6" x14ac:dyDescent="0.2">
      <c r="A18" s="23"/>
      <c r="B18" s="22"/>
      <c r="C18" s="22"/>
      <c r="D18" s="22"/>
      <c r="E18" s="22"/>
      <c r="F18" s="34"/>
    </row>
    <row r="19" spans="1:6" hidden="1" x14ac:dyDescent="0.2"/>
    <row r="20" spans="1:6" hidden="1" x14ac:dyDescent="0.2"/>
    <row r="21" spans="1:6" hidden="1" x14ac:dyDescent="0.2"/>
    <row r="22" spans="1:6" hidden="1" x14ac:dyDescent="0.2"/>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A18" sqref="A18:XFD2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9" t="s">
        <v>5</v>
      </c>
      <c r="B1" s="159"/>
      <c r="C1" s="159"/>
      <c r="D1" s="159"/>
      <c r="E1" s="159"/>
      <c r="F1" s="26"/>
    </row>
    <row r="2" spans="1:6" ht="21" customHeight="1" x14ac:dyDescent="0.2">
      <c r="A2" s="4" t="s">
        <v>2</v>
      </c>
      <c r="B2" s="162" t="str">
        <f>'Summary and sign-off'!B2:F2</f>
        <v>Department of Corrections</v>
      </c>
      <c r="C2" s="162"/>
      <c r="D2" s="162"/>
      <c r="E2" s="162"/>
      <c r="F2" s="26"/>
    </row>
    <row r="3" spans="1:6" ht="21" customHeight="1" x14ac:dyDescent="0.2">
      <c r="A3" s="4" t="s">
        <v>3</v>
      </c>
      <c r="B3" s="162" t="str">
        <f>'Summary and sign-off'!B3:F3</f>
        <v>Christine Stevenson</v>
      </c>
      <c r="C3" s="162"/>
      <c r="D3" s="162"/>
      <c r="E3" s="162"/>
      <c r="F3" s="26"/>
    </row>
    <row r="4" spans="1:6" ht="21" customHeight="1" x14ac:dyDescent="0.2">
      <c r="A4" s="4" t="s">
        <v>37</v>
      </c>
      <c r="B4" s="162">
        <f>'Summary and sign-off'!B4:F4</f>
        <v>43500</v>
      </c>
      <c r="C4" s="162"/>
      <c r="D4" s="162"/>
      <c r="E4" s="162"/>
      <c r="F4" s="26"/>
    </row>
    <row r="5" spans="1:6" ht="21" customHeight="1" x14ac:dyDescent="0.2">
      <c r="A5" s="4" t="s">
        <v>38</v>
      </c>
      <c r="B5" s="162">
        <f>'Summary and sign-off'!B5:F5</f>
        <v>43646</v>
      </c>
      <c r="C5" s="162"/>
      <c r="D5" s="162"/>
      <c r="E5" s="162"/>
      <c r="F5" s="26"/>
    </row>
    <row r="6" spans="1:6" ht="21" customHeight="1" x14ac:dyDescent="0.2">
      <c r="A6" s="4" t="s">
        <v>8</v>
      </c>
      <c r="B6" s="157" t="s">
        <v>7</v>
      </c>
      <c r="C6" s="157"/>
      <c r="D6" s="157"/>
      <c r="E6" s="157"/>
      <c r="F6" s="30"/>
    </row>
    <row r="7" spans="1:6" ht="21" customHeight="1" x14ac:dyDescent="0.2">
      <c r="A7" s="4" t="s">
        <v>57</v>
      </c>
      <c r="B7" s="157" t="s">
        <v>68</v>
      </c>
      <c r="C7" s="157"/>
      <c r="D7" s="157"/>
      <c r="E7" s="157"/>
      <c r="F7" s="30"/>
    </row>
    <row r="8" spans="1:6" ht="35.25" customHeight="1" x14ac:dyDescent="0.2">
      <c r="A8" s="166" t="s">
        <v>0</v>
      </c>
      <c r="B8" s="166"/>
      <c r="C8" s="173"/>
      <c r="D8" s="173"/>
      <c r="E8" s="173"/>
      <c r="F8" s="26"/>
    </row>
    <row r="9" spans="1:6" ht="35.25" customHeight="1" x14ac:dyDescent="0.2">
      <c r="A9" s="174" t="s">
        <v>71</v>
      </c>
      <c r="B9" s="175"/>
      <c r="C9" s="175"/>
      <c r="D9" s="175"/>
      <c r="E9" s="175"/>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81">
        <v>43532</v>
      </c>
      <c r="B12" s="82">
        <v>71.63</v>
      </c>
      <c r="C12" s="82" t="s">
        <v>103</v>
      </c>
      <c r="D12" s="82" t="s">
        <v>104</v>
      </c>
      <c r="E12" s="83" t="s">
        <v>105</v>
      </c>
      <c r="F12" s="3"/>
    </row>
    <row r="13" spans="1:6" s="57" customFormat="1" x14ac:dyDescent="0.2">
      <c r="A13" s="82"/>
      <c r="B13" s="82">
        <f>115.69+22.35+32.68</f>
        <v>170.72</v>
      </c>
      <c r="C13" s="82" t="s">
        <v>129</v>
      </c>
      <c r="D13" s="82" t="s">
        <v>125</v>
      </c>
      <c r="E13" s="83" t="s">
        <v>126</v>
      </c>
      <c r="F13" s="3"/>
    </row>
    <row r="14" spans="1:6" s="57" customFormat="1" x14ac:dyDescent="0.2">
      <c r="A14" s="81"/>
      <c r="B14" s="78"/>
      <c r="C14" s="82"/>
      <c r="D14" s="82"/>
      <c r="E14" s="83"/>
      <c r="F14" s="3"/>
    </row>
    <row r="15" spans="1:6" s="57" customFormat="1" hidden="1" x14ac:dyDescent="0.2">
      <c r="A15" s="77"/>
      <c r="B15" s="78"/>
      <c r="C15" s="82"/>
      <c r="D15" s="82"/>
      <c r="E15" s="83"/>
      <c r="F15" s="3"/>
    </row>
    <row r="16" spans="1:6" ht="34.5" customHeight="1" x14ac:dyDescent="0.2">
      <c r="A16" s="58" t="s">
        <v>76</v>
      </c>
      <c r="B16" s="70">
        <f>SUM(B11:B15)</f>
        <v>242.35</v>
      </c>
      <c r="C16" s="88"/>
      <c r="D16" s="163"/>
      <c r="E16" s="163"/>
      <c r="F16" s="33"/>
    </row>
    <row r="17" spans="1:6" ht="14.1" customHeight="1" x14ac:dyDescent="0.2">
      <c r="A17" s="34"/>
      <c r="B17" s="28"/>
      <c r="C17" s="22"/>
      <c r="D17" s="22"/>
      <c r="E17" s="22"/>
      <c r="F17" s="26"/>
    </row>
    <row r="18" spans="1:6" hidden="1" x14ac:dyDescent="0.2">
      <c r="A18" s="22"/>
      <c r="B18" s="22"/>
      <c r="C18" s="22"/>
      <c r="D18" s="22"/>
      <c r="E18" s="34"/>
    </row>
    <row r="19" spans="1:6" ht="12.75" hidden="1" customHeight="1" x14ac:dyDescent="0.2"/>
    <row r="20" spans="1:6" hidden="1" x14ac:dyDescent="0.2">
      <c r="A20" s="36"/>
      <c r="B20" s="36"/>
      <c r="C20" s="36"/>
      <c r="D20" s="36"/>
      <c r="E20" s="36"/>
      <c r="F20" s="26"/>
    </row>
    <row r="21" spans="1:6" hidden="1" x14ac:dyDescent="0.2">
      <c r="A21" s="36"/>
      <c r="B21" s="36"/>
      <c r="C21" s="36"/>
      <c r="D21" s="36"/>
      <c r="E21" s="36"/>
      <c r="F21" s="26"/>
    </row>
    <row r="22" spans="1:6" hidden="1" x14ac:dyDescent="0.2">
      <c r="A22" s="36"/>
      <c r="B22" s="36"/>
      <c r="C22" s="36"/>
      <c r="D22" s="36"/>
      <c r="E22" s="36"/>
      <c r="F22" s="26"/>
    </row>
    <row r="23" spans="1:6" hidden="1" x14ac:dyDescent="0.2">
      <c r="A23" s="36"/>
      <c r="B23" s="36"/>
      <c r="C23" s="36"/>
      <c r="D23" s="36"/>
      <c r="E23" s="36"/>
      <c r="F23" s="26"/>
    </row>
    <row r="24" spans="1:6" hidden="1" x14ac:dyDescent="0.2">
      <c r="A24" s="36"/>
      <c r="B24" s="36"/>
      <c r="C24" s="36"/>
      <c r="D24" s="36"/>
      <c r="E24" s="36"/>
      <c r="F24" s="26"/>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21" sqref="A21:XFD2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9" t="s">
        <v>11</v>
      </c>
      <c r="B1" s="159"/>
      <c r="C1" s="159"/>
      <c r="D1" s="159"/>
      <c r="E1" s="159"/>
      <c r="F1" s="159"/>
    </row>
    <row r="2" spans="1:6" ht="21" customHeight="1" x14ac:dyDescent="0.2">
      <c r="A2" s="4" t="s">
        <v>2</v>
      </c>
      <c r="B2" s="162" t="str">
        <f>'Summary and sign-off'!B2:F2</f>
        <v>Department of Corrections</v>
      </c>
      <c r="C2" s="162"/>
      <c r="D2" s="162"/>
      <c r="E2" s="162"/>
      <c r="F2" s="162"/>
    </row>
    <row r="3" spans="1:6" ht="21" customHeight="1" x14ac:dyDescent="0.2">
      <c r="A3" s="4" t="s">
        <v>3</v>
      </c>
      <c r="B3" s="162" t="str">
        <f>'Summary and sign-off'!B3:F3</f>
        <v>Christine Stevenson</v>
      </c>
      <c r="C3" s="162"/>
      <c r="D3" s="162"/>
      <c r="E3" s="162"/>
      <c r="F3" s="162"/>
    </row>
    <row r="4" spans="1:6" ht="21" customHeight="1" x14ac:dyDescent="0.2">
      <c r="A4" s="4" t="s">
        <v>37</v>
      </c>
      <c r="B4" s="162">
        <f>'Summary and sign-off'!B4:F4</f>
        <v>43500</v>
      </c>
      <c r="C4" s="162"/>
      <c r="D4" s="162"/>
      <c r="E4" s="162"/>
      <c r="F4" s="162"/>
    </row>
    <row r="5" spans="1:6" ht="21" customHeight="1" x14ac:dyDescent="0.2">
      <c r="A5" s="4" t="s">
        <v>38</v>
      </c>
      <c r="B5" s="162">
        <f>'Summary and sign-off'!B5:F5</f>
        <v>43646</v>
      </c>
      <c r="C5" s="162"/>
      <c r="D5" s="162"/>
      <c r="E5" s="162"/>
      <c r="F5" s="162"/>
    </row>
    <row r="6" spans="1:6" ht="21" customHeight="1" x14ac:dyDescent="0.2">
      <c r="A6" s="4" t="s">
        <v>97</v>
      </c>
      <c r="B6" s="157" t="s">
        <v>7</v>
      </c>
      <c r="C6" s="157"/>
      <c r="D6" s="157"/>
      <c r="E6" s="157"/>
      <c r="F6" s="157"/>
    </row>
    <row r="7" spans="1:6" ht="21" customHeight="1" x14ac:dyDescent="0.2">
      <c r="A7" s="4" t="s">
        <v>57</v>
      </c>
      <c r="B7" s="157" t="s">
        <v>68</v>
      </c>
      <c r="C7" s="157"/>
      <c r="D7" s="157"/>
      <c r="E7" s="157"/>
      <c r="F7" s="157"/>
    </row>
    <row r="8" spans="1:6" ht="36" customHeight="1" x14ac:dyDescent="0.2">
      <c r="A8" s="166" t="s">
        <v>29</v>
      </c>
      <c r="B8" s="166"/>
      <c r="C8" s="166"/>
      <c r="D8" s="166"/>
      <c r="E8" s="166"/>
      <c r="F8" s="166"/>
    </row>
    <row r="9" spans="1:6" ht="36" customHeight="1" x14ac:dyDescent="0.2">
      <c r="A9" s="174" t="s">
        <v>74</v>
      </c>
      <c r="B9" s="175"/>
      <c r="C9" s="175"/>
      <c r="D9" s="175"/>
      <c r="E9" s="175"/>
      <c r="F9" s="175"/>
    </row>
    <row r="10" spans="1:6" ht="39" customHeight="1" x14ac:dyDescent="0.2">
      <c r="A10" s="18" t="s">
        <v>27</v>
      </c>
      <c r="B10" s="9" t="s">
        <v>95</v>
      </c>
      <c r="C10" s="9" t="s">
        <v>41</v>
      </c>
      <c r="D10" s="9" t="s">
        <v>12</v>
      </c>
      <c r="E10" s="9" t="s">
        <v>42</v>
      </c>
      <c r="F10" s="9" t="s">
        <v>70</v>
      </c>
    </row>
    <row r="11" spans="1:6" s="57" customFormat="1" hidden="1" x14ac:dyDescent="0.2">
      <c r="A11" s="81"/>
      <c r="B11" s="82"/>
      <c r="C11" s="87"/>
      <c r="D11" s="82"/>
      <c r="E11" s="84"/>
      <c r="F11" s="83"/>
    </row>
    <row r="12" spans="1:6" s="57" customFormat="1" x14ac:dyDescent="0.2">
      <c r="A12" s="81">
        <v>43544</v>
      </c>
      <c r="B12" s="85" t="s">
        <v>110</v>
      </c>
      <c r="C12" s="87" t="s">
        <v>13</v>
      </c>
      <c r="D12" s="85" t="s">
        <v>109</v>
      </c>
      <c r="E12" s="84"/>
      <c r="F12" s="86"/>
    </row>
    <row r="13" spans="1:6" s="57" customFormat="1" x14ac:dyDescent="0.2">
      <c r="A13" s="81">
        <v>43517</v>
      </c>
      <c r="B13" s="85" t="s">
        <v>111</v>
      </c>
      <c r="C13" s="87" t="s">
        <v>13</v>
      </c>
      <c r="D13" s="85" t="s">
        <v>112</v>
      </c>
      <c r="E13" s="84"/>
      <c r="F13" s="86"/>
    </row>
    <row r="14" spans="1:6" s="57" customFormat="1" x14ac:dyDescent="0.2">
      <c r="A14" s="81"/>
      <c r="B14" s="85"/>
      <c r="C14" s="87"/>
      <c r="D14" s="85"/>
      <c r="E14" s="84"/>
      <c r="F14" s="86"/>
    </row>
    <row r="15" spans="1:6" s="57" customFormat="1" x14ac:dyDescent="0.2">
      <c r="A15" s="81"/>
      <c r="B15" s="85"/>
      <c r="C15" s="87"/>
      <c r="D15" s="85"/>
      <c r="E15" s="84"/>
      <c r="F15" s="86"/>
    </row>
    <row r="16" spans="1:6" s="57" customFormat="1" hidden="1" x14ac:dyDescent="0.2">
      <c r="A16" s="81"/>
      <c r="B16" s="82"/>
      <c r="C16" s="87"/>
      <c r="D16" s="82"/>
      <c r="E16" s="84"/>
      <c r="F16" s="83"/>
    </row>
    <row r="17" spans="1:7" ht="34.5" customHeight="1" x14ac:dyDescent="0.2">
      <c r="A17" s="59" t="s">
        <v>96</v>
      </c>
      <c r="B17" s="60" t="s">
        <v>14</v>
      </c>
      <c r="C17" s="61">
        <f>C18+C19</f>
        <v>2</v>
      </c>
      <c r="D17" s="96"/>
      <c r="E17" s="176"/>
      <c r="F17" s="176"/>
      <c r="G17" s="57"/>
    </row>
    <row r="18" spans="1:7" ht="25.5" customHeight="1" x14ac:dyDescent="0.25">
      <c r="A18" s="62"/>
      <c r="B18" s="63" t="s">
        <v>15</v>
      </c>
      <c r="C18" s="64">
        <f>COUNTIF(C11:C16,'Summary and sign-off'!A38)</f>
        <v>0</v>
      </c>
      <c r="D18" s="19"/>
      <c r="E18" s="20"/>
      <c r="F18" s="21"/>
    </row>
    <row r="19" spans="1:7" ht="25.5" customHeight="1" x14ac:dyDescent="0.25">
      <c r="A19" s="62"/>
      <c r="B19" s="63" t="s">
        <v>13</v>
      </c>
      <c r="C19" s="64">
        <f>COUNTIF(C11:C16,'Summary and sign-off'!A39)</f>
        <v>2</v>
      </c>
      <c r="D19" s="19"/>
      <c r="E19" s="20"/>
      <c r="F19" s="21"/>
    </row>
    <row r="20" spans="1:7" x14ac:dyDescent="0.2">
      <c r="A20" s="22"/>
      <c r="B20" s="23"/>
      <c r="C20" s="22"/>
      <c r="D20" s="24"/>
      <c r="E20" s="24"/>
      <c r="F20" s="22"/>
    </row>
    <row r="21" spans="1:7" ht="12.75" customHeight="1" x14ac:dyDescent="0.2">
      <c r="A21" s="25"/>
      <c r="B21" s="25"/>
      <c r="C21" s="29"/>
      <c r="D21" s="29"/>
      <c r="E21" s="29"/>
      <c r="F21" s="29"/>
    </row>
    <row r="22" spans="1:7" ht="12.75" hidden="1" customHeight="1" x14ac:dyDescent="0.2">
      <c r="A22" s="25"/>
      <c r="B22" s="25"/>
      <c r="C22" s="29"/>
      <c r="D22" s="29"/>
      <c r="E22" s="29"/>
      <c r="F22" s="29"/>
    </row>
    <row r="23" spans="1:7" hidden="1" x14ac:dyDescent="0.2"/>
    <row r="24" spans="1:7" hidden="1" x14ac:dyDescent="0.2"/>
    <row r="25" spans="1:7" hidden="1" x14ac:dyDescent="0.2">
      <c r="A25" s="23"/>
      <c r="B25" s="23"/>
      <c r="C25" s="23"/>
      <c r="D25" s="23"/>
      <c r="E25" s="23"/>
      <c r="F25" s="23"/>
    </row>
    <row r="26" spans="1:7" hidden="1" x14ac:dyDescent="0.2">
      <c r="A26" s="23"/>
      <c r="B26" s="23"/>
      <c r="C26" s="23"/>
      <c r="D26" s="23"/>
      <c r="E26" s="23"/>
      <c r="F26" s="23"/>
    </row>
    <row r="27" spans="1:7" hidden="1" x14ac:dyDescent="0.2">
      <c r="A27" s="23"/>
      <c r="B27" s="23"/>
      <c r="C27" s="23"/>
      <c r="D27" s="23"/>
      <c r="E27" s="23"/>
      <c r="F27" s="23"/>
    </row>
    <row r="28" spans="1:7" hidden="1" x14ac:dyDescent="0.2">
      <c r="A28" s="23"/>
      <c r="B28" s="23"/>
      <c r="C28" s="23"/>
      <c r="D28" s="23"/>
      <c r="E28" s="23"/>
      <c r="F28" s="23"/>
    </row>
    <row r="29" spans="1:7" hidden="1" x14ac:dyDescent="0.2">
      <c r="A29" s="23"/>
      <c r="B29" s="23"/>
      <c r="C29" s="23"/>
      <c r="D29" s="23"/>
      <c r="E29" s="23"/>
      <c r="F29" s="23"/>
    </row>
    <row r="30" spans="1:7" hidden="1" x14ac:dyDescent="0.2"/>
    <row r="31" spans="1:7" hidden="1" x14ac:dyDescent="0.2"/>
    <row r="32" spans="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B7:F7</xm:sqref>
        </x14:dataValidation>
        <x14:dataValidation type="list" allowBlank="1" showInputMessage="1" showErrorMessage="1" error="Use the drop down list (at the right of the cell)">
          <x14:formula1>
            <xm:f>'Summary and sign-off'!$A$38:$A$39</xm:f>
          </x14:formula1>
          <xm:sqref>C11:C16</xm:sqref>
        </x14:dataValidation>
        <x14:dataValidation type="list" errorStyle="information" operator="greaterThan" allowBlank="1" showInputMessage="1" prompt="Provide specific $ value if possible">
          <x14:formula1>
            <xm:f>'Summary and sign-off'!$A$32:$A$37</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purl.org/dc/dcmitype/"/>
    <ds:schemaRef ds:uri="12165527-d881-4234-97f9-ee139a3f0c3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2019-07-12T00:18:11Z</cp:lastPrinted>
  <dcterms:created xsi:type="dcterms:W3CDTF">2010-10-17T20:59:02Z</dcterms:created>
  <dcterms:modified xsi:type="dcterms:W3CDTF">2019-07-25T02:52:01Z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